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2175" yWindow="735" windowWidth="19440" windowHeight="12180"/>
  </bookViews>
  <sheets>
    <sheet name="US" sheetId="1" r:id="rId1"/>
    <sheet name="1st Platoon OOB" sheetId="4" r:id="rId2"/>
    <sheet name="2nd Platoon OOB" sheetId="5" r:id="rId3"/>
    <sheet name="Data Sheet" sheetId="3" state="hidden" r:id="rId4"/>
    <sheet name="Updates" sheetId="6" r:id="rId5"/>
  </sheets>
  <definedNames>
    <definedName name="ACar">'Data Sheet'!$I$176:$I$178</definedName>
    <definedName name="Add_Men">'Data Sheet'!$I$24:$I$26</definedName>
    <definedName name="AntiTank">'Data Sheet'!$I$153:$I$154</definedName>
    <definedName name="ATG_12">'Data Sheet'!$B$65:$B$73</definedName>
    <definedName name="AutoR_0">'Data Sheet'!$B$56</definedName>
    <definedName name="AutoR_1">'Data Sheet'!$B$56:$B$57</definedName>
    <definedName name="AutoR_2">'Data Sheet'!$B$56:$B$58</definedName>
    <definedName name="BigGun">'Data Sheet'!$I$157:$I$163</definedName>
    <definedName name="D_ACar">'Data Sheet'!$B$176:$F$182</definedName>
    <definedName name="D_AddMen">'Data Sheet'!$B$24:$F$30</definedName>
    <definedName name="D_AntiTank">'Data Sheet'!$B$153:$F$156</definedName>
    <definedName name="D_ATG">'Data Sheet'!$B$65:$E$73</definedName>
    <definedName name="D_AutoR">'Data Sheet'!$B$56:$E$58</definedName>
    <definedName name="D_BigGun">'Data Sheet'!$B$157:$F$175</definedName>
    <definedName name="D_Flamethrower">'Data Sheet'!$B$150:$F$152</definedName>
    <definedName name="D_HMG">'Data Sheet'!$B$131:$F$134</definedName>
    <definedName name="D_Medic">'Data Sheet'!$B$117:$F$118</definedName>
    <definedName name="D_MedicMen">'Data Sheet'!$B$119:$F$121</definedName>
    <definedName name="D_Men">'Data Sheet'!$B$31:$F$55</definedName>
    <definedName name="D_MG">'Data Sheet'!$B$127:$F$130</definedName>
    <definedName name="D_Mortar">'Data Sheet'!$B$135:$F$144</definedName>
    <definedName name="D_Observers">'Data Sheet'!$B$122:$F$126</definedName>
    <definedName name="D_Officers">'Data Sheet'!$B$10:$F$16</definedName>
    <definedName name="D_Officers1">'Data Sheet'!$B$17:$F$23</definedName>
    <definedName name="D_SMG">'Data Sheet'!$B$59:$E$64</definedName>
    <definedName name="D_Sniper">'Data Sheet'!$B$147:$F$149</definedName>
    <definedName name="D_Spotter">'Data Sheet'!$B$145:$F$146</definedName>
    <definedName name="D_Tank">'Data Sheet'!$B$183:$H$231</definedName>
    <definedName name="D_TankOptions">'Data Sheet'!$B$232:$F$234</definedName>
    <definedName name="D_TankOptions1">'Data Sheet'!$B$236:$F$237</definedName>
    <definedName name="D_Transport">'Data Sheet'!$B$74:$F$116</definedName>
    <definedName name="Flamer">'Data Sheet'!$I$150:$I$151</definedName>
    <definedName name="HMG">'Data Sheet'!$I$131:$I$132</definedName>
    <definedName name="Medic">'Data Sheet'!$I$117:$I$118</definedName>
    <definedName name="MMG">'Data Sheet'!$I$127:$I$128</definedName>
    <definedName name="Mortar">'Data Sheet'!$I$135:$I$138</definedName>
    <definedName name="Num_Men">'Data Sheet'!$I$31:$I$39</definedName>
    <definedName name="Observers">'Data Sheet'!$I$122:$I$124</definedName>
    <definedName name="Officers">'Data Sheet'!$I$10:$I$12</definedName>
    <definedName name="Officers1">'Data Sheet'!$J$10:$J$12</definedName>
    <definedName name="_xlnm.Print_Area" localSheetId="1">'1st Platoon OOB'!$A$1:$C$62</definedName>
    <definedName name="_xlnm.Print_Area" localSheetId="2">'2nd Platoon OOB'!$A$1:$C$62</definedName>
    <definedName name="Ratings">'Data Sheet'!$J$5:$J$8</definedName>
    <definedName name="SMG_2">'Data Sheet'!$B$59:$B$61</definedName>
    <definedName name="SMG_5">'Data Sheet'!$B$59:$B$64</definedName>
    <definedName name="Sniper">'Data Sheet'!$I$147:$I$148</definedName>
    <definedName name="Spotter">'Data Sheet'!$I$145:$I$146</definedName>
    <definedName name="Tank">'Data Sheet'!$I$183:$I$199</definedName>
    <definedName name="TankOptions">'Data Sheet'!$H$232:$H$234</definedName>
    <definedName name="TankOptions1">'Data Sheet'!$H$236:$H$237</definedName>
    <definedName name="Transport">'Data Sheet'!$I$74:$I$88</definedName>
    <definedName name="UnitType">'Data Sheet'!$B$1:$B$6</definedName>
    <definedName name="VetMen">'Data Sheet'!$K$5:$K$6</definedName>
    <definedName name="VetReg">'Data Sheet'!$L$5:$L$7</definedName>
  </definedNames>
  <calcPr calcId="145621" concurrentCalc="0"/>
</workbook>
</file>

<file path=xl/calcChain.xml><?xml version="1.0" encoding="utf-8"?>
<calcChain xmlns="http://schemas.openxmlformats.org/spreadsheetml/2006/main">
  <c r="D111" i="1" l="1"/>
  <c r="D113" i="1"/>
  <c r="D114" i="1"/>
  <c r="K36" i="5"/>
  <c r="K34" i="5"/>
  <c r="K32" i="5"/>
  <c r="K11" i="5"/>
  <c r="K36" i="4"/>
  <c r="K34" i="4"/>
  <c r="K32" i="4"/>
  <c r="K11" i="4"/>
  <c r="C231" i="3"/>
  <c r="C230" i="3"/>
  <c r="C229" i="3"/>
  <c r="E61" i="1"/>
  <c r="E62" i="1"/>
  <c r="E63" i="1"/>
  <c r="A64" i="1"/>
  <c r="L66" i="1"/>
  <c r="L67" i="1"/>
  <c r="L68" i="1"/>
  <c r="H69" i="1"/>
  <c r="E66" i="1"/>
  <c r="E67" i="1"/>
  <c r="E68" i="1"/>
  <c r="A69" i="1"/>
  <c r="L56" i="1"/>
  <c r="L57" i="1"/>
  <c r="L58" i="1"/>
  <c r="H59" i="1"/>
  <c r="E56" i="1"/>
  <c r="E57" i="1"/>
  <c r="E58" i="1"/>
  <c r="A59" i="1"/>
  <c r="L13" i="1"/>
  <c r="L14" i="1"/>
  <c r="L15" i="1"/>
  <c r="H16" i="1"/>
  <c r="E13" i="1"/>
  <c r="E14" i="1"/>
  <c r="E15" i="1"/>
  <c r="A16" i="1"/>
  <c r="C182" i="3"/>
  <c r="C181" i="3"/>
  <c r="C180" i="3"/>
  <c r="L62" i="1"/>
  <c r="K62" i="1"/>
  <c r="D62" i="1"/>
  <c r="K56" i="1"/>
  <c r="K57" i="1"/>
  <c r="K58" i="1"/>
  <c r="K59" i="1"/>
  <c r="K61" i="1"/>
  <c r="K63" i="1"/>
  <c r="K64" i="1"/>
  <c r="G34" i="5"/>
  <c r="K66" i="1"/>
  <c r="K67" i="1"/>
  <c r="K68" i="1"/>
  <c r="K69" i="1"/>
  <c r="G36" i="5"/>
  <c r="K71" i="1"/>
  <c r="K72" i="1"/>
  <c r="K73" i="1"/>
  <c r="G38" i="5"/>
  <c r="K75" i="1"/>
  <c r="K76" i="1"/>
  <c r="K77" i="1"/>
  <c r="G40" i="5"/>
  <c r="K79" i="1"/>
  <c r="K80" i="1"/>
  <c r="K81" i="1"/>
  <c r="G42" i="5"/>
  <c r="K83" i="1"/>
  <c r="K84" i="1"/>
  <c r="K85" i="1"/>
  <c r="K87" i="1"/>
  <c r="K88" i="1"/>
  <c r="K89" i="1"/>
  <c r="K90" i="1"/>
  <c r="G46" i="5"/>
  <c r="K92" i="1"/>
  <c r="K93" i="1"/>
  <c r="K94" i="1"/>
  <c r="G48" i="5"/>
  <c r="K111" i="1"/>
  <c r="K112" i="1"/>
  <c r="K114" i="1"/>
  <c r="K109" i="1"/>
  <c r="G56" i="5"/>
  <c r="K104" i="1"/>
  <c r="K105" i="1"/>
  <c r="K106" i="1"/>
  <c r="K107" i="1"/>
  <c r="G54" i="5"/>
  <c r="K100" i="1"/>
  <c r="K101" i="1"/>
  <c r="K102" i="1"/>
  <c r="G52" i="5"/>
  <c r="K96" i="1"/>
  <c r="K97" i="1"/>
  <c r="K98" i="1"/>
  <c r="G50" i="5"/>
  <c r="K49" i="1"/>
  <c r="K50" i="1"/>
  <c r="K51" i="1"/>
  <c r="K52" i="1"/>
  <c r="K42" i="1"/>
  <c r="K43" i="1"/>
  <c r="K44" i="1"/>
  <c r="K45" i="1"/>
  <c r="K35" i="1"/>
  <c r="K36" i="1"/>
  <c r="K37" i="1"/>
  <c r="K38" i="1"/>
  <c r="D112" i="1"/>
  <c r="G58" i="4"/>
  <c r="D109" i="1"/>
  <c r="G56" i="4"/>
  <c r="D104" i="1"/>
  <c r="D105" i="1"/>
  <c r="D106" i="1"/>
  <c r="D107" i="1"/>
  <c r="G54" i="4"/>
  <c r="D100" i="1"/>
  <c r="D101" i="1"/>
  <c r="D102" i="1"/>
  <c r="G52" i="4"/>
  <c r="D96" i="1"/>
  <c r="D97" i="1"/>
  <c r="D98" i="1"/>
  <c r="G50" i="4"/>
  <c r="D92" i="1"/>
  <c r="D93" i="1"/>
  <c r="D94" i="1"/>
  <c r="G48" i="4"/>
  <c r="D83" i="1"/>
  <c r="D84" i="1"/>
  <c r="D85" i="1"/>
  <c r="G44" i="4"/>
  <c r="D71" i="1"/>
  <c r="D72" i="1"/>
  <c r="D66" i="1"/>
  <c r="D67" i="1"/>
  <c r="D68" i="1"/>
  <c r="D61" i="1"/>
  <c r="D63" i="1"/>
  <c r="D49" i="1"/>
  <c r="D50" i="1"/>
  <c r="D51" i="1"/>
  <c r="D52" i="1"/>
  <c r="D42" i="1"/>
  <c r="D43" i="1"/>
  <c r="D44" i="1"/>
  <c r="D45" i="1"/>
  <c r="D35" i="1"/>
  <c r="D36" i="1"/>
  <c r="D37" i="1"/>
  <c r="D38" i="1"/>
  <c r="D56" i="1"/>
  <c r="D57" i="1"/>
  <c r="D58" i="1"/>
  <c r="D59" i="1"/>
  <c r="G32" i="4"/>
  <c r="D87" i="1"/>
  <c r="D88" i="1"/>
  <c r="D89" i="1"/>
  <c r="D79" i="1"/>
  <c r="D80" i="1"/>
  <c r="D81" i="1"/>
  <c r="D75" i="1"/>
  <c r="D76" i="1"/>
  <c r="D77" i="1"/>
  <c r="G40" i="4"/>
  <c r="G44" i="5"/>
  <c r="O54" i="5"/>
  <c r="N54" i="5"/>
  <c r="O52" i="5"/>
  <c r="N52" i="5"/>
  <c r="O50" i="5"/>
  <c r="N50" i="5"/>
  <c r="O48" i="5"/>
  <c r="N48" i="5"/>
  <c r="O46" i="5"/>
  <c r="N46" i="5"/>
  <c r="P46" i="5"/>
  <c r="I46" i="5"/>
  <c r="M46" i="5"/>
  <c r="K46" i="5"/>
  <c r="H46" i="5"/>
  <c r="O44" i="5"/>
  <c r="N44" i="5"/>
  <c r="O42" i="5"/>
  <c r="N42" i="5"/>
  <c r="O40" i="5"/>
  <c r="N40" i="5"/>
  <c r="N58" i="5"/>
  <c r="M58" i="5"/>
  <c r="M54" i="5"/>
  <c r="K54" i="5"/>
  <c r="I54" i="5"/>
  <c r="P54" i="5"/>
  <c r="H54" i="5"/>
  <c r="J58" i="5"/>
  <c r="J56" i="5"/>
  <c r="J54" i="5"/>
  <c r="J52" i="5"/>
  <c r="J50" i="5"/>
  <c r="J48" i="5"/>
  <c r="J46" i="5"/>
  <c r="J44" i="5"/>
  <c r="J42" i="5"/>
  <c r="J40" i="5"/>
  <c r="I58" i="5"/>
  <c r="I56" i="5"/>
  <c r="I52" i="5"/>
  <c r="P52" i="5"/>
  <c r="H52" i="5"/>
  <c r="I50" i="5"/>
  <c r="F50" i="5"/>
  <c r="I48" i="5"/>
  <c r="I44" i="5"/>
  <c r="P44" i="5"/>
  <c r="H44" i="5"/>
  <c r="I42" i="5"/>
  <c r="F42" i="5"/>
  <c r="I40" i="5"/>
  <c r="P58" i="5"/>
  <c r="K58" i="5"/>
  <c r="F40" i="5"/>
  <c r="F44" i="5"/>
  <c r="F46" i="5"/>
  <c r="F48" i="5"/>
  <c r="F52" i="5"/>
  <c r="F54" i="5"/>
  <c r="F56" i="5"/>
  <c r="I38" i="5"/>
  <c r="F38" i="5"/>
  <c r="I32" i="5"/>
  <c r="F32" i="5"/>
  <c r="I34" i="5"/>
  <c r="F34" i="5"/>
  <c r="I36" i="5"/>
  <c r="F36" i="5"/>
  <c r="H56" i="5"/>
  <c r="P50" i="5"/>
  <c r="H50" i="5"/>
  <c r="P48" i="5"/>
  <c r="H48" i="5"/>
  <c r="P42" i="5"/>
  <c r="P40" i="5"/>
  <c r="H40" i="5"/>
  <c r="K13" i="1"/>
  <c r="K14" i="1"/>
  <c r="K15" i="1"/>
  <c r="K16" i="1"/>
  <c r="C11" i="5"/>
  <c r="K18" i="1"/>
  <c r="K19" i="1"/>
  <c r="K20" i="1"/>
  <c r="K21" i="1"/>
  <c r="K25" i="1"/>
  <c r="K26" i="1"/>
  <c r="K27" i="1"/>
  <c r="K28" i="1"/>
  <c r="K29" i="1"/>
  <c r="K30" i="1"/>
  <c r="C18" i="5"/>
  <c r="I23" i="5"/>
  <c r="F23" i="5"/>
  <c r="I26" i="5"/>
  <c r="F26" i="5"/>
  <c r="I29" i="5"/>
  <c r="F29" i="5"/>
  <c r="D13" i="1"/>
  <c r="D14" i="1"/>
  <c r="D15" i="1"/>
  <c r="D18" i="1"/>
  <c r="D19" i="1"/>
  <c r="D20" i="1"/>
  <c r="D21" i="1"/>
  <c r="D22" i="1"/>
  <c r="D25" i="1"/>
  <c r="D26" i="1"/>
  <c r="D27" i="1"/>
  <c r="D28" i="1"/>
  <c r="I23" i="4"/>
  <c r="F23" i="4"/>
  <c r="I26" i="4"/>
  <c r="F26" i="4"/>
  <c r="I29" i="4"/>
  <c r="H29" i="4"/>
  <c r="F29" i="4"/>
  <c r="I32" i="4"/>
  <c r="F32" i="4"/>
  <c r="E32" i="4"/>
  <c r="I34" i="4"/>
  <c r="F34" i="4"/>
  <c r="E34" i="4"/>
  <c r="I36" i="4"/>
  <c r="F36" i="4"/>
  <c r="I38" i="4"/>
  <c r="F38" i="4"/>
  <c r="I40" i="4"/>
  <c r="F40" i="4"/>
  <c r="I42" i="4"/>
  <c r="F42" i="4"/>
  <c r="I44" i="4"/>
  <c r="N44" i="4"/>
  <c r="P44" i="4"/>
  <c r="H44" i="4"/>
  <c r="F44" i="4"/>
  <c r="I46" i="4"/>
  <c r="F46" i="4"/>
  <c r="I48" i="4"/>
  <c r="F48" i="4"/>
  <c r="I50" i="4"/>
  <c r="I52" i="4"/>
  <c r="F52" i="4"/>
  <c r="I54" i="4"/>
  <c r="F54" i="4"/>
  <c r="I56" i="4"/>
  <c r="F56" i="4"/>
  <c r="I58" i="4"/>
  <c r="J38" i="5"/>
  <c r="N38" i="5"/>
  <c r="P38" i="5"/>
  <c r="H38" i="5"/>
  <c r="N58" i="4"/>
  <c r="P58" i="4"/>
  <c r="M58" i="4"/>
  <c r="K58" i="4"/>
  <c r="M32" i="4"/>
  <c r="N32" i="4"/>
  <c r="P32" i="4"/>
  <c r="H32" i="4"/>
  <c r="L32" i="4"/>
  <c r="O32" i="4"/>
  <c r="J32" i="4"/>
  <c r="M34" i="4"/>
  <c r="N34" i="4"/>
  <c r="P34" i="4"/>
  <c r="J34" i="4"/>
  <c r="M36" i="4"/>
  <c r="N36" i="4"/>
  <c r="P36" i="4"/>
  <c r="J36" i="4"/>
  <c r="N38" i="4"/>
  <c r="P38" i="4"/>
  <c r="O38" i="4"/>
  <c r="J38" i="4"/>
  <c r="N40" i="4"/>
  <c r="P40" i="4"/>
  <c r="O40" i="4"/>
  <c r="J40" i="4"/>
  <c r="G42" i="4"/>
  <c r="N42" i="4"/>
  <c r="O42" i="4"/>
  <c r="P42" i="4"/>
  <c r="H42" i="4"/>
  <c r="J42" i="4"/>
  <c r="O44" i="4"/>
  <c r="J44" i="4"/>
  <c r="M46" i="4"/>
  <c r="K46" i="4"/>
  <c r="N46" i="4"/>
  <c r="O46" i="4"/>
  <c r="P46" i="4"/>
  <c r="J46" i="4"/>
  <c r="N48" i="4"/>
  <c r="P48" i="4"/>
  <c r="H48" i="4"/>
  <c r="J48" i="4"/>
  <c r="N50" i="4"/>
  <c r="P50" i="4"/>
  <c r="J50" i="4"/>
  <c r="N52" i="4"/>
  <c r="P52" i="4"/>
  <c r="J52" i="4"/>
  <c r="M54" i="4"/>
  <c r="K54" i="4"/>
  <c r="N54" i="4"/>
  <c r="P54" i="4"/>
  <c r="H54" i="4"/>
  <c r="J54" i="4"/>
  <c r="J56" i="4"/>
  <c r="J58" i="4"/>
  <c r="L88" i="1"/>
  <c r="L87" i="1"/>
  <c r="L89" i="1"/>
  <c r="H90" i="1"/>
  <c r="E88" i="1"/>
  <c r="E87" i="1"/>
  <c r="E89" i="1"/>
  <c r="G32" i="5"/>
  <c r="O38" i="5"/>
  <c r="N36" i="5"/>
  <c r="P36" i="5"/>
  <c r="O36" i="5"/>
  <c r="M36" i="5"/>
  <c r="L36" i="5"/>
  <c r="J36" i="5"/>
  <c r="R34" i="5"/>
  <c r="N34" i="5"/>
  <c r="P34" i="5"/>
  <c r="O34" i="5"/>
  <c r="M34" i="5"/>
  <c r="H34" i="5"/>
  <c r="L34" i="5"/>
  <c r="J34" i="5"/>
  <c r="R32" i="5"/>
  <c r="N32" i="5"/>
  <c r="P32" i="5"/>
  <c r="O32" i="5"/>
  <c r="M32" i="5"/>
  <c r="L32" i="5"/>
  <c r="J32" i="5"/>
  <c r="W29" i="5"/>
  <c r="Y29" i="5"/>
  <c r="X29" i="5"/>
  <c r="O29" i="5"/>
  <c r="S29" i="5"/>
  <c r="L29" i="5"/>
  <c r="M29" i="5"/>
  <c r="N29" i="5"/>
  <c r="R29" i="5"/>
  <c r="T29" i="5"/>
  <c r="V29" i="5"/>
  <c r="J29" i="5"/>
  <c r="H29" i="5"/>
  <c r="W26" i="5"/>
  <c r="Y26" i="5"/>
  <c r="X26" i="5"/>
  <c r="O26" i="5"/>
  <c r="S26" i="5"/>
  <c r="N26" i="5"/>
  <c r="R26" i="5"/>
  <c r="T26" i="5"/>
  <c r="J26" i="5"/>
  <c r="H26" i="5"/>
  <c r="W23" i="5"/>
  <c r="Y23" i="5"/>
  <c r="X23" i="5"/>
  <c r="O23" i="5"/>
  <c r="S23" i="5"/>
  <c r="L23" i="5"/>
  <c r="M23" i="5"/>
  <c r="N23" i="5"/>
  <c r="R23" i="5"/>
  <c r="T23" i="5"/>
  <c r="V23" i="5"/>
  <c r="J23" i="5"/>
  <c r="H23" i="5"/>
  <c r="O18" i="5"/>
  <c r="S18" i="5"/>
  <c r="L18" i="5"/>
  <c r="M18" i="5"/>
  <c r="N18" i="5"/>
  <c r="R18" i="5"/>
  <c r="T18" i="5"/>
  <c r="V18" i="5"/>
  <c r="A19" i="5"/>
  <c r="W18" i="5"/>
  <c r="Y18" i="5"/>
  <c r="X18" i="5"/>
  <c r="J18" i="5"/>
  <c r="I18" i="5"/>
  <c r="H18" i="5"/>
  <c r="F18" i="5"/>
  <c r="E18" i="5"/>
  <c r="O14" i="5"/>
  <c r="S14" i="5"/>
  <c r="L14" i="5"/>
  <c r="M14" i="5"/>
  <c r="N14" i="5"/>
  <c r="R14" i="5"/>
  <c r="T14" i="5"/>
  <c r="W14" i="5"/>
  <c r="Y14" i="5"/>
  <c r="X14" i="5"/>
  <c r="J14" i="5"/>
  <c r="I14" i="5"/>
  <c r="H14" i="5"/>
  <c r="N11" i="5"/>
  <c r="P11" i="5"/>
  <c r="O11" i="5"/>
  <c r="M11" i="5"/>
  <c r="L11" i="5"/>
  <c r="I11" i="5"/>
  <c r="H11" i="5"/>
  <c r="J11" i="5"/>
  <c r="F11" i="5"/>
  <c r="E11" i="5"/>
  <c r="O54" i="4"/>
  <c r="O52" i="4"/>
  <c r="O50" i="4"/>
  <c r="O48" i="4"/>
  <c r="O36" i="4"/>
  <c r="L36" i="4"/>
  <c r="R34" i="4"/>
  <c r="O34" i="4"/>
  <c r="L34" i="4"/>
  <c r="R32" i="4"/>
  <c r="O29" i="4"/>
  <c r="S29" i="4"/>
  <c r="N29" i="4"/>
  <c r="R29" i="4"/>
  <c r="T29" i="4"/>
  <c r="W29" i="4"/>
  <c r="Y29" i="4"/>
  <c r="X29" i="4"/>
  <c r="J29" i="4"/>
  <c r="O26" i="4"/>
  <c r="S26" i="4"/>
  <c r="N26" i="4"/>
  <c r="R26" i="4"/>
  <c r="T26" i="4"/>
  <c r="W26" i="4"/>
  <c r="Y26" i="4"/>
  <c r="X26" i="4"/>
  <c r="J26" i="4"/>
  <c r="O23" i="4"/>
  <c r="S23" i="4"/>
  <c r="N23" i="4"/>
  <c r="R23" i="4"/>
  <c r="T23" i="4"/>
  <c r="W23" i="4"/>
  <c r="X23" i="4"/>
  <c r="Y23" i="4"/>
  <c r="J23" i="4"/>
  <c r="O18" i="4"/>
  <c r="S18" i="4"/>
  <c r="N18" i="4"/>
  <c r="R18" i="4"/>
  <c r="T18" i="4"/>
  <c r="I18" i="4"/>
  <c r="F18" i="4"/>
  <c r="E18" i="4"/>
  <c r="W18" i="4"/>
  <c r="X18" i="4"/>
  <c r="Y18" i="4"/>
  <c r="J18" i="4"/>
  <c r="O14" i="4"/>
  <c r="S14" i="4"/>
  <c r="N14" i="4"/>
  <c r="R14" i="4"/>
  <c r="T14" i="4"/>
  <c r="I14" i="4"/>
  <c r="F14" i="4"/>
  <c r="E14" i="4"/>
  <c r="W14" i="4"/>
  <c r="X14" i="4"/>
  <c r="J14" i="4"/>
  <c r="N11" i="4"/>
  <c r="P11" i="4"/>
  <c r="O11" i="4"/>
  <c r="M11" i="4"/>
  <c r="L11" i="4"/>
  <c r="J11" i="4"/>
  <c r="I11" i="4"/>
  <c r="F11" i="4"/>
  <c r="E11" i="4"/>
  <c r="L112" i="1"/>
  <c r="L111" i="1"/>
  <c r="L113" i="1"/>
  <c r="E112" i="1"/>
  <c r="E111" i="1"/>
  <c r="E113" i="1"/>
  <c r="M113" i="1"/>
  <c r="K113" i="1"/>
  <c r="H113" i="1"/>
  <c r="F113" i="1"/>
  <c r="A113" i="1"/>
  <c r="M112" i="1"/>
  <c r="H112" i="1"/>
  <c r="F112" i="1"/>
  <c r="A112" i="1"/>
  <c r="L109" i="1"/>
  <c r="E109" i="1"/>
  <c r="L105" i="1"/>
  <c r="L104" i="1"/>
  <c r="L106" i="1"/>
  <c r="H107" i="1"/>
  <c r="E105" i="1"/>
  <c r="E104" i="1"/>
  <c r="E106" i="1"/>
  <c r="A107" i="1"/>
  <c r="L101" i="1"/>
  <c r="L100" i="1"/>
  <c r="H102" i="1"/>
  <c r="E101" i="1"/>
  <c r="E100" i="1"/>
  <c r="L97" i="1"/>
  <c r="L96" i="1"/>
  <c r="H98" i="1"/>
  <c r="E97" i="1"/>
  <c r="E96" i="1"/>
  <c r="A98" i="1"/>
  <c r="L93" i="1"/>
  <c r="L92" i="1"/>
  <c r="H94" i="1"/>
  <c r="E93" i="1"/>
  <c r="E92" i="1"/>
  <c r="A94" i="1"/>
  <c r="L84" i="1"/>
  <c r="L83" i="1"/>
  <c r="H85" i="1"/>
  <c r="E84" i="1"/>
  <c r="E83" i="1"/>
  <c r="A85" i="1"/>
  <c r="L80" i="1"/>
  <c r="L79" i="1"/>
  <c r="H81" i="1"/>
  <c r="E80" i="1"/>
  <c r="E79" i="1"/>
  <c r="L76" i="1"/>
  <c r="L75" i="1"/>
  <c r="H77" i="1"/>
  <c r="E76" i="1"/>
  <c r="E75" i="1"/>
  <c r="A77" i="1"/>
  <c r="L72" i="1"/>
  <c r="L71" i="1"/>
  <c r="E72" i="1"/>
  <c r="E71" i="1"/>
  <c r="A73" i="1"/>
  <c r="L61" i="1"/>
  <c r="L63" i="1"/>
  <c r="L50" i="1"/>
  <c r="L49" i="1"/>
  <c r="L51" i="1"/>
  <c r="L52" i="1"/>
  <c r="L53" i="1"/>
  <c r="E50" i="1"/>
  <c r="E49" i="1"/>
  <c r="E51" i="1"/>
  <c r="F49" i="1"/>
  <c r="A51" i="1"/>
  <c r="E52" i="1"/>
  <c r="E53" i="1"/>
  <c r="K53" i="1"/>
  <c r="D53" i="1"/>
  <c r="M49" i="1"/>
  <c r="M52" i="1"/>
  <c r="F52" i="1"/>
  <c r="M51" i="1"/>
  <c r="H51" i="1"/>
  <c r="L43" i="1"/>
  <c r="L42" i="1"/>
  <c r="L44" i="1"/>
  <c r="L45" i="1"/>
  <c r="L46" i="1"/>
  <c r="H47" i="1"/>
  <c r="E43" i="1"/>
  <c r="E42" i="1"/>
  <c r="E44" i="1"/>
  <c r="E45" i="1"/>
  <c r="E46" i="1"/>
  <c r="K46" i="1"/>
  <c r="D46" i="1"/>
  <c r="M42" i="1"/>
  <c r="M45" i="1"/>
  <c r="F42" i="1"/>
  <c r="L36" i="1"/>
  <c r="L35" i="1"/>
  <c r="L37" i="1"/>
  <c r="M35" i="1"/>
  <c r="H37" i="1"/>
  <c r="L38" i="1"/>
  <c r="M38" i="1"/>
  <c r="L39" i="1"/>
  <c r="E36" i="1"/>
  <c r="E35" i="1"/>
  <c r="E37" i="1"/>
  <c r="E38" i="1"/>
  <c r="E39" i="1"/>
  <c r="K39" i="1"/>
  <c r="D39" i="1"/>
  <c r="F35" i="1"/>
  <c r="M37" i="1"/>
  <c r="L26" i="1"/>
  <c r="L25" i="1"/>
  <c r="L27" i="1"/>
  <c r="L28" i="1"/>
  <c r="L29" i="1"/>
  <c r="E26" i="1"/>
  <c r="E25" i="1"/>
  <c r="E27" i="1"/>
  <c r="E28" i="1"/>
  <c r="E29" i="1"/>
  <c r="D29" i="1"/>
  <c r="M25" i="1"/>
  <c r="M28" i="1"/>
  <c r="F25" i="1"/>
  <c r="L19" i="1"/>
  <c r="L18" i="1"/>
  <c r="L20" i="1"/>
  <c r="L21" i="1"/>
  <c r="L22" i="1"/>
  <c r="E19" i="1"/>
  <c r="E18" i="1"/>
  <c r="E20" i="1"/>
  <c r="E21" i="1"/>
  <c r="E22" i="1"/>
  <c r="K22" i="1"/>
  <c r="M18" i="1"/>
  <c r="F18" i="1"/>
  <c r="A19" i="1"/>
  <c r="A54" i="1"/>
  <c r="H64" i="1"/>
  <c r="E52" i="5"/>
  <c r="E42" i="5"/>
  <c r="E32" i="5"/>
  <c r="E54" i="5"/>
  <c r="E36" i="5"/>
  <c r="E50" i="5"/>
  <c r="E40" i="5"/>
  <c r="E38" i="5"/>
  <c r="E56" i="5"/>
  <c r="E34" i="5"/>
  <c r="E44" i="5"/>
  <c r="E46" i="5"/>
  <c r="E48" i="5"/>
  <c r="F58" i="5"/>
  <c r="E58" i="5"/>
  <c r="C44" i="5"/>
  <c r="H36" i="1"/>
  <c r="M36" i="1"/>
  <c r="K40" i="1"/>
  <c r="G23" i="5"/>
  <c r="H40" i="1"/>
  <c r="F51" i="1"/>
  <c r="M44" i="1"/>
  <c r="H44" i="1"/>
  <c r="H50" i="1"/>
  <c r="M50" i="1"/>
  <c r="H54" i="1"/>
  <c r="H73" i="1"/>
  <c r="B18" i="5"/>
  <c r="A18" i="5"/>
  <c r="L26" i="5"/>
  <c r="M26" i="5"/>
  <c r="V26" i="5"/>
  <c r="H50" i="4"/>
  <c r="H23" i="1"/>
  <c r="B11" i="5"/>
  <c r="A11" i="5"/>
  <c r="M27" i="1"/>
  <c r="H27" i="1"/>
  <c r="L29" i="4"/>
  <c r="M29" i="4"/>
  <c r="V29" i="4"/>
  <c r="H30" i="1"/>
  <c r="A81" i="1"/>
  <c r="H114" i="1"/>
  <c r="E26" i="5"/>
  <c r="E23" i="5"/>
  <c r="E29" i="5"/>
  <c r="H34" i="4"/>
  <c r="A114" i="1"/>
  <c r="L26" i="4"/>
  <c r="M26" i="4"/>
  <c r="V26" i="4"/>
  <c r="H36" i="5"/>
  <c r="D73" i="1"/>
  <c r="G38" i="4"/>
  <c r="M26" i="1"/>
  <c r="H26" i="1"/>
  <c r="A47" i="1"/>
  <c r="A102" i="1"/>
  <c r="H32" i="5"/>
  <c r="F50" i="4"/>
  <c r="K23" i="1"/>
  <c r="H42" i="5"/>
  <c r="K47" i="1"/>
  <c r="G26" i="5"/>
  <c r="K54" i="1"/>
  <c r="G29" i="5"/>
  <c r="H58" i="5"/>
  <c r="M43" i="1"/>
  <c r="H43" i="1"/>
  <c r="F50" i="1"/>
  <c r="A50" i="1"/>
  <c r="A90" i="1"/>
  <c r="H58" i="4"/>
  <c r="D90" i="1"/>
  <c r="G46" i="4"/>
  <c r="D47" i="1"/>
  <c r="G26" i="4"/>
  <c r="D54" i="1"/>
  <c r="G29" i="4"/>
  <c r="G58" i="5"/>
  <c r="C40" i="5"/>
  <c r="B44" i="5"/>
  <c r="F58" i="4"/>
  <c r="D16" i="1"/>
  <c r="C11" i="4"/>
  <c r="A43" i="1"/>
  <c r="F43" i="1"/>
  <c r="H26" i="4"/>
  <c r="F36" i="1"/>
  <c r="F28" i="1"/>
  <c r="F26" i="1"/>
  <c r="A26" i="1"/>
  <c r="L14" i="4"/>
  <c r="M14" i="4"/>
  <c r="V14" i="4"/>
  <c r="C14" i="5"/>
  <c r="K32" i="1"/>
  <c r="M20" i="1"/>
  <c r="M19" i="1"/>
  <c r="H19" i="1"/>
  <c r="V14" i="5"/>
  <c r="F14" i="5"/>
  <c r="E14" i="5"/>
  <c r="B14" i="5"/>
  <c r="M21" i="1"/>
  <c r="H20" i="1"/>
  <c r="A20" i="1"/>
  <c r="F21" i="1"/>
  <c r="A36" i="1"/>
  <c r="F44" i="1"/>
  <c r="A44" i="1"/>
  <c r="F45" i="1"/>
  <c r="A37" i="1"/>
  <c r="F38" i="1"/>
  <c r="F37" i="1"/>
  <c r="L23" i="4"/>
  <c r="M23" i="4"/>
  <c r="V23" i="4"/>
  <c r="L18" i="4"/>
  <c r="M18" i="4"/>
  <c r="V18" i="4"/>
  <c r="F27" i="1"/>
  <c r="D30" i="1"/>
  <c r="C18" i="4"/>
  <c r="H11" i="4"/>
  <c r="A11" i="4"/>
  <c r="H52" i="4"/>
  <c r="H56" i="4"/>
  <c r="H46" i="4"/>
  <c r="H40" i="4"/>
  <c r="H38" i="4"/>
  <c r="H36" i="4"/>
  <c r="D69" i="1"/>
  <c r="G36" i="4"/>
  <c r="E52" i="4"/>
  <c r="E36" i="4"/>
  <c r="E50" i="4"/>
  <c r="E44" i="4"/>
  <c r="E40" i="4"/>
  <c r="D64" i="1"/>
  <c r="G34" i="4"/>
  <c r="E42" i="4"/>
  <c r="E54" i="4"/>
  <c r="E46" i="4"/>
  <c r="E38" i="4"/>
  <c r="E56" i="4"/>
  <c r="E48" i="4"/>
  <c r="D40" i="1"/>
  <c r="A40" i="1"/>
  <c r="E23" i="4"/>
  <c r="E26" i="4"/>
  <c r="H23" i="4"/>
  <c r="E29" i="4"/>
  <c r="A30" i="1"/>
  <c r="Y14" i="4"/>
  <c r="D23" i="1"/>
  <c r="C14" i="4"/>
  <c r="F20" i="1"/>
  <c r="A23" i="1"/>
  <c r="F19" i="1"/>
  <c r="A27" i="1"/>
  <c r="H18" i="4"/>
  <c r="A18" i="4"/>
  <c r="H14" i="4"/>
  <c r="B14" i="4"/>
  <c r="B46" i="5"/>
  <c r="C42" i="5"/>
  <c r="C46" i="5"/>
  <c r="A36" i="5"/>
  <c r="B40" i="5"/>
  <c r="C58" i="5"/>
  <c r="C48" i="5"/>
  <c r="A56" i="5"/>
  <c r="B38" i="5"/>
  <c r="C54" i="5"/>
  <c r="C32" i="5"/>
  <c r="C23" i="5"/>
  <c r="A30" i="5"/>
  <c r="A29" i="5"/>
  <c r="B26" i="5"/>
  <c r="A27" i="5"/>
  <c r="C29" i="5"/>
  <c r="B29" i="5"/>
  <c r="C26" i="5"/>
  <c r="A26" i="5"/>
  <c r="B23" i="5"/>
  <c r="A23" i="5"/>
  <c r="A24" i="5"/>
  <c r="B48" i="5"/>
  <c r="A50" i="5"/>
  <c r="A40" i="5"/>
  <c r="B36" i="5"/>
  <c r="B34" i="5"/>
  <c r="E58" i="4"/>
  <c r="B36" i="4"/>
  <c r="B56" i="5"/>
  <c r="A58" i="5"/>
  <c r="A48" i="5"/>
  <c r="A34" i="5"/>
  <c r="K116" i="1"/>
  <c r="K118" i="1"/>
  <c r="A46" i="5"/>
  <c r="B54" i="5"/>
  <c r="B32" i="5"/>
  <c r="B52" i="5"/>
  <c r="A38" i="5"/>
  <c r="A32" i="5"/>
  <c r="A52" i="5"/>
  <c r="C50" i="5"/>
  <c r="C56" i="5"/>
  <c r="B50" i="5"/>
  <c r="C38" i="5"/>
  <c r="A42" i="5"/>
  <c r="C34" i="5"/>
  <c r="A44" i="5"/>
  <c r="C52" i="5"/>
  <c r="C36" i="5"/>
  <c r="A54" i="5"/>
  <c r="B42" i="5"/>
  <c r="B58" i="5"/>
  <c r="A14" i="5"/>
  <c r="A15" i="5"/>
  <c r="A23" i="4"/>
  <c r="B29" i="4"/>
  <c r="A19" i="4"/>
  <c r="B18" i="4"/>
  <c r="D32" i="1"/>
  <c r="B11" i="4"/>
  <c r="A30" i="4"/>
  <c r="C56" i="4"/>
  <c r="A44" i="4"/>
  <c r="B54" i="4"/>
  <c r="B50" i="4"/>
  <c r="C36" i="4"/>
  <c r="A48" i="4"/>
  <c r="B58" i="4"/>
  <c r="B42" i="4"/>
  <c r="C58" i="4"/>
  <c r="B48" i="4"/>
  <c r="B38" i="4"/>
  <c r="C40" i="4"/>
  <c r="B52" i="4"/>
  <c r="B32" i="4"/>
  <c r="C34" i="4"/>
  <c r="B56" i="4"/>
  <c r="C52" i="4"/>
  <c r="C50" i="4"/>
  <c r="C48" i="4"/>
  <c r="C46" i="4"/>
  <c r="B44" i="4"/>
  <c r="A38" i="4"/>
  <c r="C38" i="4"/>
  <c r="C54" i="4"/>
  <c r="A54" i="4"/>
  <c r="A42" i="4"/>
  <c r="A36" i="4"/>
  <c r="A32" i="4"/>
  <c r="A58" i="4"/>
  <c r="A40" i="4"/>
  <c r="A56" i="4"/>
  <c r="D116" i="1"/>
  <c r="G23" i="4"/>
  <c r="C23" i="4"/>
  <c r="C26" i="4"/>
  <c r="A26" i="4"/>
  <c r="B23" i="4"/>
  <c r="A24" i="4"/>
  <c r="A27" i="4"/>
  <c r="B26" i="4"/>
  <c r="C29" i="4"/>
  <c r="A29" i="4"/>
  <c r="A14" i="4"/>
  <c r="A15" i="4"/>
  <c r="C32" i="4"/>
  <c r="C42" i="4"/>
  <c r="C44" i="4"/>
  <c r="C60" i="4"/>
  <c r="C60" i="5"/>
  <c r="C61" i="4"/>
  <c r="A50" i="4"/>
  <c r="B34" i="4"/>
  <c r="B46" i="4"/>
  <c r="A46" i="4"/>
  <c r="A34" i="4"/>
  <c r="B40" i="4"/>
  <c r="A52" i="4"/>
  <c r="D118" i="1"/>
  <c r="D120" i="1"/>
  <c r="C61" i="5"/>
</calcChain>
</file>

<file path=xl/sharedStrings.xml><?xml version="1.0" encoding="utf-8"?>
<sst xmlns="http://schemas.openxmlformats.org/spreadsheetml/2006/main" count="1102" uniqueCount="369">
  <si>
    <t>1 SMG</t>
  </si>
  <si>
    <t>2 SMG</t>
  </si>
  <si>
    <t>3 SMG</t>
  </si>
  <si>
    <t>4 SMG</t>
  </si>
  <si>
    <t>5 ATG</t>
  </si>
  <si>
    <t>6 ATG</t>
  </si>
  <si>
    <t>7 ATG</t>
  </si>
  <si>
    <t>8 ATG</t>
  </si>
  <si>
    <t>9 ATG</t>
  </si>
  <si>
    <t>10 ATG</t>
  </si>
  <si>
    <t>I.NCO + 4 men</t>
  </si>
  <si>
    <t>I.NCO + 5 men</t>
  </si>
  <si>
    <t>I.NCO + 7 men</t>
  </si>
  <si>
    <t>I.NCO + 8 men</t>
  </si>
  <si>
    <t>R.NCO + 4 men</t>
  </si>
  <si>
    <t>R.NCO + 5 men</t>
  </si>
  <si>
    <t>R.NCO + 6 men</t>
  </si>
  <si>
    <t>R.NCO + 7 men</t>
  </si>
  <si>
    <t>R.NCO + 8 men</t>
  </si>
  <si>
    <t>R.NCO + 9 men</t>
  </si>
  <si>
    <t>V.NCO + 4 men</t>
  </si>
  <si>
    <t>V.NCO + 5 men</t>
  </si>
  <si>
    <t>V.NCO + 6 men</t>
  </si>
  <si>
    <t>V.NCO + 7 men</t>
  </si>
  <si>
    <t>V.NCO + 8 men</t>
  </si>
  <si>
    <t>V.NCO + 9 men</t>
  </si>
  <si>
    <t>I.NCO + 9 men</t>
  </si>
  <si>
    <t>0 SMG</t>
  </si>
  <si>
    <t>0 ATG</t>
  </si>
  <si>
    <t>V.Medic</t>
  </si>
  <si>
    <t>-</t>
  </si>
  <si>
    <t>Spotter</t>
  </si>
  <si>
    <t>R.Sniper</t>
  </si>
  <si>
    <t>V.Sniper</t>
  </si>
  <si>
    <t>Officer</t>
  </si>
  <si>
    <t>1st Infantry Squad</t>
  </si>
  <si>
    <t>Optional Additional Men</t>
  </si>
  <si>
    <t>Optional Transport</t>
  </si>
  <si>
    <t>2nd Infantry Squad</t>
  </si>
  <si>
    <t>Support Options</t>
  </si>
  <si>
    <t>Points</t>
  </si>
  <si>
    <t>Infantry Squad</t>
  </si>
  <si>
    <t>Medic</t>
  </si>
  <si>
    <t>Forward Observer</t>
  </si>
  <si>
    <t>Optional Spotter</t>
  </si>
  <si>
    <t>Sniper Team</t>
  </si>
  <si>
    <t>Anti-Tank Team</t>
  </si>
  <si>
    <t>Big Gun</t>
  </si>
  <si>
    <t>Armoured Car</t>
  </si>
  <si>
    <t>Tank</t>
  </si>
  <si>
    <t>Additional Men</t>
  </si>
  <si>
    <t>SMG</t>
  </si>
  <si>
    <t>Transport</t>
  </si>
  <si>
    <t>Anti-Tank Grenades</t>
  </si>
  <si>
    <t>Artillery Obs</t>
  </si>
  <si>
    <t>Mortar</t>
  </si>
  <si>
    <t>Flamethrower</t>
  </si>
  <si>
    <t>Sniper</t>
  </si>
  <si>
    <t>Anti-Tank</t>
  </si>
  <si>
    <t>Armored Car</t>
  </si>
  <si>
    <t>Additional Men (Medic)</t>
  </si>
  <si>
    <t>Training</t>
  </si>
  <si>
    <t>Inexperienced</t>
  </si>
  <si>
    <t>Regular</t>
  </si>
  <si>
    <t>Veteran</t>
  </si>
  <si>
    <t>+1 Rifleman</t>
  </si>
  <si>
    <t>+2 Riflemen</t>
  </si>
  <si>
    <t>2nd Lieutenant</t>
  </si>
  <si>
    <t>1st Lieutenant</t>
  </si>
  <si>
    <t>HQ</t>
  </si>
  <si>
    <t>1st Squad</t>
  </si>
  <si>
    <t>NCO &amp; 4 men</t>
  </si>
  <si>
    <t>NCO &amp; 5 men</t>
  </si>
  <si>
    <t>NCO &amp; 6 men</t>
  </si>
  <si>
    <t>NCO &amp; 7 men</t>
  </si>
  <si>
    <t>NCO &amp; 8 men</t>
  </si>
  <si>
    <t>NCO &amp; 9 men</t>
  </si>
  <si>
    <t>1 Submachine Gun</t>
  </si>
  <si>
    <t>2 Submachine Guns</t>
  </si>
  <si>
    <t>3 Submachine Guns</t>
  </si>
  <si>
    <t>4 Submachine Guns</t>
  </si>
  <si>
    <t>5 Anti-Tank Grenades</t>
  </si>
  <si>
    <t>6 Anti-Tank Grenades</t>
  </si>
  <si>
    <t>7 Anti-Tank Grenades</t>
  </si>
  <si>
    <t>8 Anti-Tank Grenades</t>
  </si>
  <si>
    <t>9 Anti-Tank Grenades</t>
  </si>
  <si>
    <t>10 Anti-Tank Grenades</t>
  </si>
  <si>
    <t>2nd Squad</t>
  </si>
  <si>
    <t>everything to the right of this column (inclusive) to be hidden</t>
  </si>
  <si>
    <t># Reinforced Platoons</t>
  </si>
  <si>
    <t># Platoons</t>
  </si>
  <si>
    <t>Reinforced Platoon #1</t>
  </si>
  <si>
    <t>Reinforced Platoon #2</t>
  </si>
  <si>
    <t>Reinforced Platoon cost</t>
  </si>
  <si>
    <t>Support cost</t>
  </si>
  <si>
    <t>Core Units cost</t>
  </si>
  <si>
    <t>3rd Infantry Squad</t>
  </si>
  <si>
    <t>4th Infantry Squad</t>
  </si>
  <si>
    <t>5th Infantry Squad</t>
  </si>
  <si>
    <t>NCO + 4 men</t>
  </si>
  <si>
    <t>NCO + 5 men</t>
  </si>
  <si>
    <t>NCO + 7 men</t>
  </si>
  <si>
    <t>NCO + 8 men</t>
  </si>
  <si>
    <t>NCO + 9 men</t>
  </si>
  <si>
    <t>NCO + 6 men</t>
  </si>
  <si>
    <t>Classes</t>
  </si>
  <si>
    <t>Captain</t>
  </si>
  <si>
    <t>Major</t>
  </si>
  <si>
    <t>1 Man</t>
  </si>
  <si>
    <t>2 Men</t>
  </si>
  <si>
    <t>Artillery Observer</t>
  </si>
  <si>
    <t>Air Observer</t>
  </si>
  <si>
    <t>Light Mortar</t>
  </si>
  <si>
    <t>Medium Mortar</t>
  </si>
  <si>
    <t>R.Artillery Observer</t>
  </si>
  <si>
    <t>V.Artillery Observer</t>
  </si>
  <si>
    <t>R.Air Observer</t>
  </si>
  <si>
    <t>V.Air Observer</t>
  </si>
  <si>
    <t>Light Artillery</t>
  </si>
  <si>
    <t>Medium Artillery</t>
  </si>
  <si>
    <t>Heavy Artillery</t>
  </si>
  <si>
    <t>V.1 Man</t>
  </si>
  <si>
    <t>V.2 Men</t>
  </si>
  <si>
    <t>R.Captain</t>
  </si>
  <si>
    <t>V.Captain</t>
  </si>
  <si>
    <t>R.Major</t>
  </si>
  <si>
    <t>V.Major</t>
  </si>
  <si>
    <t>Support Units</t>
  </si>
  <si>
    <t>3rd Squad</t>
  </si>
  <si>
    <t>4th Squad</t>
  </si>
  <si>
    <t>5th Squad</t>
  </si>
  <si>
    <t>Unit Type</t>
  </si>
  <si>
    <t>Other Support</t>
  </si>
  <si>
    <t>Total Points</t>
  </si>
  <si>
    <t xml:space="preserve"> Infantry Squad</t>
  </si>
  <si>
    <t>Officers</t>
  </si>
  <si>
    <t>Total Army Points Cost</t>
  </si>
  <si>
    <t>Total Army Points (All Reinforced Platoons)</t>
  </si>
  <si>
    <t>List generated from the WWPD Bolt Action Lister, created by Duncan@WWPD.net</t>
  </si>
  <si>
    <t>For Errors/Ommissions/Questions, please email Duncan@WWPD.net</t>
  </si>
  <si>
    <t>I.Stuart</t>
  </si>
  <si>
    <t>R.Stuart</t>
  </si>
  <si>
    <t>V.Stuart</t>
  </si>
  <si>
    <t>I.M7 Priest</t>
  </si>
  <si>
    <t>R.M7 Priest</t>
  </si>
  <si>
    <t>V.M7 Priest</t>
  </si>
  <si>
    <t>Stuart</t>
  </si>
  <si>
    <t>M7 Priest</t>
  </si>
  <si>
    <t>I.Major</t>
  </si>
  <si>
    <t>I.Jeep</t>
  </si>
  <si>
    <t>R.Jeep</t>
  </si>
  <si>
    <t>V.Jeep</t>
  </si>
  <si>
    <t>Jeep</t>
  </si>
  <si>
    <t>I.2nd Lieutenant</t>
  </si>
  <si>
    <t>V.2nd Lieutenant</t>
  </si>
  <si>
    <t>I.1st Lieutenant</t>
  </si>
  <si>
    <t>R.1st Lieutenant</t>
  </si>
  <si>
    <t>V.1st Lieutenant</t>
  </si>
  <si>
    <t>R.2nd Lieutenant</t>
  </si>
  <si>
    <t>I.Light Mortar</t>
  </si>
  <si>
    <t>R.Light Mortar</t>
  </si>
  <si>
    <t>V.Light Mortar</t>
  </si>
  <si>
    <t>I.Medium Mortar</t>
  </si>
  <si>
    <t>R.Medium Mortar</t>
  </si>
  <si>
    <t>V.Medium Mortar</t>
  </si>
  <si>
    <t>R.Light Artillery</t>
  </si>
  <si>
    <t>V.Light Artillery</t>
  </si>
  <si>
    <t>R.Heavy Artillery</t>
  </si>
  <si>
    <t>V.Heavy Artillery</t>
  </si>
  <si>
    <t>R.Medium Artillery</t>
  </si>
  <si>
    <t>V.Medium Artillery</t>
  </si>
  <si>
    <t>Veteran (Airborne)</t>
  </si>
  <si>
    <t>Optional Anti-Tank Grenades</t>
  </si>
  <si>
    <t>R.Flamethrower</t>
  </si>
  <si>
    <t>V.Flamethrower</t>
  </si>
  <si>
    <t>Pintle Mounted HMG</t>
  </si>
  <si>
    <t>Tank Options</t>
  </si>
  <si>
    <t>2x20mm light autocannon</t>
  </si>
  <si>
    <t>I.M10</t>
  </si>
  <si>
    <t>R.M10</t>
  </si>
  <si>
    <t>V.M10</t>
  </si>
  <si>
    <t>M10</t>
  </si>
  <si>
    <t>I.M18 Hellcat</t>
  </si>
  <si>
    <t>R.M18 Hellcat</t>
  </si>
  <si>
    <t>V.M18 Hellcat</t>
  </si>
  <si>
    <t>I.M36 Jackson</t>
  </si>
  <si>
    <t>R.M36 Jackson</t>
  </si>
  <si>
    <t>V.M36 Jackson</t>
  </si>
  <si>
    <t>M36 Jackson</t>
  </si>
  <si>
    <t>M18 Hellcat</t>
  </si>
  <si>
    <t>11 ATG</t>
  </si>
  <si>
    <t>12 ATG</t>
  </si>
  <si>
    <t>11 Anti-Tank Grenades</t>
  </si>
  <si>
    <t>12 Anti-Tank Grenades</t>
  </si>
  <si>
    <t>I.NCO+ 6 men</t>
  </si>
  <si>
    <t>I.NCO + 10 men</t>
  </si>
  <si>
    <t>I.NCO + 11 men</t>
  </si>
  <si>
    <t>R.NCO + 10 men</t>
  </si>
  <si>
    <t>R.NCO + 11 men</t>
  </si>
  <si>
    <t>V.NCO + 10 men</t>
  </si>
  <si>
    <t>V.NCO + 11 men</t>
  </si>
  <si>
    <t>NCO &amp; 10 men</t>
  </si>
  <si>
    <t>NCO &amp; 11 men</t>
  </si>
  <si>
    <t>NCO + 10 men</t>
  </si>
  <si>
    <t>I.Captain</t>
  </si>
  <si>
    <t>I.Bazooka</t>
  </si>
  <si>
    <t>R.Bazooka</t>
  </si>
  <si>
    <t>V.Bazooka</t>
  </si>
  <si>
    <t>Bazooka</t>
  </si>
  <si>
    <t>I.Light Artillery</t>
  </si>
  <si>
    <t>I.Heavy Artillery</t>
  </si>
  <si>
    <t>I.Medium Artillery</t>
  </si>
  <si>
    <t>2.5t Truck</t>
  </si>
  <si>
    <t>3/4t Truck</t>
  </si>
  <si>
    <t>M4/5 Artillery Tractor</t>
  </si>
  <si>
    <t>M3 Half-Track</t>
  </si>
  <si>
    <t>Automatic Rfiles</t>
  </si>
  <si>
    <t>0 Automatic Rifles</t>
  </si>
  <si>
    <t>2 Automatic Rifles</t>
  </si>
  <si>
    <t>1 Automatic Rifle</t>
  </si>
  <si>
    <t>I.M4/5 Artillery Tractor</t>
  </si>
  <si>
    <t>R.M4/5 Artillery Tractor</t>
  </si>
  <si>
    <t>Hvy Machine Gun</t>
  </si>
  <si>
    <t>Med Machine Gun</t>
  </si>
  <si>
    <t>Veteran (Rangers)</t>
  </si>
  <si>
    <t>I..50 Cal. HMG</t>
  </si>
  <si>
    <t>R..50 Cal. HMG</t>
  </si>
  <si>
    <t>V..50 Cal. HMG</t>
  </si>
  <si>
    <t>37mm Anti-Tank</t>
  </si>
  <si>
    <t>57mm Anti-Tank</t>
  </si>
  <si>
    <t>3" Anti-Tank</t>
  </si>
  <si>
    <t>I.37mm Anti-Tank</t>
  </si>
  <si>
    <t>R.37mm Anti-Tank</t>
  </si>
  <si>
    <t>V.37mm Anti-Tank</t>
  </si>
  <si>
    <t>I.57mm Anti-Tank</t>
  </si>
  <si>
    <t>R.57mm Anti-Tank</t>
  </si>
  <si>
    <t>V.57mm Anti-Tank</t>
  </si>
  <si>
    <t>I.3" Anti-Tank</t>
  </si>
  <si>
    <t>R.3" Anti-Tank</t>
  </si>
  <si>
    <t>V.3" Anti-Tank</t>
  </si>
  <si>
    <t>I.M24 Chaffee</t>
  </si>
  <si>
    <t>R.M24 Chaffee</t>
  </si>
  <si>
    <t>V.M24 Chaffee</t>
  </si>
  <si>
    <t>M24 Chaffee</t>
  </si>
  <si>
    <t>M26 Pershing</t>
  </si>
  <si>
    <t>I.M26 Pershing</t>
  </si>
  <si>
    <t>R.M26 Pershing</t>
  </si>
  <si>
    <t>V.M26 Pershing</t>
  </si>
  <si>
    <t>M8 Howitzer</t>
  </si>
  <si>
    <t>I.M8 Howitzer</t>
  </si>
  <si>
    <t>R.M8 Howitzer</t>
  </si>
  <si>
    <t>V.M8 Howitzer</t>
  </si>
  <si>
    <t>I.M12 SP Gun</t>
  </si>
  <si>
    <t>R.M12 SP Gun</t>
  </si>
  <si>
    <t>V.M12 SP Gun</t>
  </si>
  <si>
    <t>M12 SP Gun</t>
  </si>
  <si>
    <t>M4A3 Assault 76mm</t>
  </si>
  <si>
    <t>M4A3 Assault 75mm</t>
  </si>
  <si>
    <t>Sherman 76 mm</t>
  </si>
  <si>
    <t>Sherman 105 mm</t>
  </si>
  <si>
    <t>Sherman 75 mm</t>
  </si>
  <si>
    <t>I.M4A3 Assault 75mm</t>
  </si>
  <si>
    <t>V.M4A3 Assault 75mm</t>
  </si>
  <si>
    <t>I.Sherman 75mm</t>
  </si>
  <si>
    <t>R.Sherman 75mm</t>
  </si>
  <si>
    <t>V.Sherman 75mm</t>
  </si>
  <si>
    <t>I.Sherman 105mm</t>
  </si>
  <si>
    <t>R.Sherman 105mm</t>
  </si>
  <si>
    <t>V.Sherman 105mm</t>
  </si>
  <si>
    <t>I.Sherman 76mm</t>
  </si>
  <si>
    <t>R.Sherman 76mm</t>
  </si>
  <si>
    <t>V.Sherman 76mm</t>
  </si>
  <si>
    <t>I.M4A3 Assault 76mm</t>
  </si>
  <si>
    <t>V.M4A3 Assault 76mm</t>
  </si>
  <si>
    <t>I.M8 Greyhound</t>
  </si>
  <si>
    <t>R.M8 Greyhound</t>
  </si>
  <si>
    <t>V.M8 Greyhound</t>
  </si>
  <si>
    <t>M8 Greyhound</t>
  </si>
  <si>
    <t>Heavy Mortar</t>
  </si>
  <si>
    <t>I.2 Men</t>
  </si>
  <si>
    <t>I.1 Man</t>
  </si>
  <si>
    <t>R.1 Man</t>
  </si>
  <si>
    <t>R.2 Men</t>
  </si>
  <si>
    <t>NCO + 11 men</t>
  </si>
  <si>
    <t>US List Generator</t>
  </si>
  <si>
    <t>US</t>
  </si>
  <si>
    <t>5 SMG</t>
  </si>
  <si>
    <t>5 Submachine Guns</t>
  </si>
  <si>
    <t>V.M4/5 Artillery Tractor</t>
  </si>
  <si>
    <t xml:space="preserve">Medium Machine Gun </t>
  </si>
  <si>
    <t xml:space="preserve">Heavy Machine Gun </t>
  </si>
  <si>
    <t>.50 Cal. HMG</t>
  </si>
  <si>
    <t>I..30 Cal. MMG</t>
  </si>
  <si>
    <t>R..30 Cal. MMG</t>
  </si>
  <si>
    <t>V..30 Cal. MMG</t>
  </si>
  <si>
    <t>.30 Cal. MMG</t>
  </si>
  <si>
    <t>Cullin Hedgerow Cutter</t>
  </si>
  <si>
    <t>I.2.5t Truck</t>
  </si>
  <si>
    <t>R.2.5t Truck</t>
  </si>
  <si>
    <t>V.2.5t Truck</t>
  </si>
  <si>
    <t>I.3/4t Truck</t>
  </si>
  <si>
    <t>R.3/4t Truck</t>
  </si>
  <si>
    <t>V.3/4t Truck</t>
  </si>
  <si>
    <t>R.M4A3 Assault 75mm</t>
  </si>
  <si>
    <t>R.M4A3 Assault 76mm</t>
  </si>
  <si>
    <t>Mortar Team</t>
  </si>
  <si>
    <t>2.5t Truck MMG</t>
  </si>
  <si>
    <t>2.5t Truck HMG</t>
  </si>
  <si>
    <t>Jeep MMG</t>
  </si>
  <si>
    <t>Jeep HMG</t>
  </si>
  <si>
    <t>3/4t Truck MMG</t>
  </si>
  <si>
    <t>3/4t Truck HMG</t>
  </si>
  <si>
    <t>M4/5 Artillery Tractor HMG</t>
  </si>
  <si>
    <t>M3 Half-Track 2 x MMG</t>
  </si>
  <si>
    <t>M3 Half-Track 1 x MMG</t>
  </si>
  <si>
    <t>I.Jeep MMG</t>
  </si>
  <si>
    <t>R.Jeep MMG</t>
  </si>
  <si>
    <t>V.Jeep MMG</t>
  </si>
  <si>
    <t>I.Jeep HMG</t>
  </si>
  <si>
    <t>R.Jeep HMG</t>
  </si>
  <si>
    <t>V.Jeep HMG</t>
  </si>
  <si>
    <t>I.2.5t Truck MMG</t>
  </si>
  <si>
    <t>R.2.5t Truck MMG</t>
  </si>
  <si>
    <t>V.2.5t Truck MMG</t>
  </si>
  <si>
    <t>I.2.5t Truck HMG</t>
  </si>
  <si>
    <t>R.2.5t Truck HMG</t>
  </si>
  <si>
    <t>V.2.5t Truck HMG</t>
  </si>
  <si>
    <t>I.3/4t Truck MMG</t>
  </si>
  <si>
    <t>R.3/4t Truck MMG</t>
  </si>
  <si>
    <t>V.3/4t Truck MMG</t>
  </si>
  <si>
    <t>I.3/4t Truck HMG</t>
  </si>
  <si>
    <t>R.3/4t Truck HMG</t>
  </si>
  <si>
    <t>V.3/4t Truck HMG</t>
  </si>
  <si>
    <t>I.M4/5 Artillery Tractor HMG</t>
  </si>
  <si>
    <t>R.M4/5 Artillery Tractor HMG</t>
  </si>
  <si>
    <t>V.M4/5 Artillery Tractor HMG</t>
  </si>
  <si>
    <t>M3 Half-Track 1x MMG</t>
  </si>
  <si>
    <t>M3 Half-Track 2x MMG</t>
  </si>
  <si>
    <t>I.M3 Half-Track</t>
  </si>
  <si>
    <t>R.M3 Half-Track</t>
  </si>
  <si>
    <t>V.M3 Half-Track</t>
  </si>
  <si>
    <t>I.M3 Half-Track 1x MMG</t>
  </si>
  <si>
    <t>R.M3 Half-Track 1x MMG</t>
  </si>
  <si>
    <t>V.M3 Half-Track 1x MMG</t>
  </si>
  <si>
    <t>I.M3 Half-Track 2x MMG</t>
  </si>
  <si>
    <t>R.M3 Half-Track 2x MMG</t>
  </si>
  <si>
    <t>V.M3 Half-Track 2x MMG</t>
  </si>
  <si>
    <t>Sherman 75mm</t>
  </si>
  <si>
    <t>Sherman 76mm</t>
  </si>
  <si>
    <t>Sherman 105mm</t>
  </si>
  <si>
    <t>M8 Greyhound HMG</t>
  </si>
  <si>
    <t>I.M8 Greyhound HMG</t>
  </si>
  <si>
    <t>R.M8 Greyhound HMG</t>
  </si>
  <si>
    <t>V.M8 Greyhound HMG</t>
  </si>
  <si>
    <t>M16 AA (Quad HMG)</t>
  </si>
  <si>
    <t>I.M16 AA (Quad HMG)</t>
  </si>
  <si>
    <t>R.M16 AA (Quad HMG)</t>
  </si>
  <si>
    <t>V.M16 AA (Quad HMG)</t>
  </si>
  <si>
    <t>I.M16 AA (Bofors 40mm)</t>
  </si>
  <si>
    <t>R.M16 AA (Bofors 40mm)</t>
  </si>
  <si>
    <t>V.M16 AA (Bofors 40mm)</t>
  </si>
  <si>
    <t>M16 AA (Bofors 40mm)</t>
  </si>
  <si>
    <t>M16 AA (Bofors 40mm Light Automatic Cannon)</t>
  </si>
  <si>
    <t>I.Heavy Mortar</t>
  </si>
  <si>
    <t>R.Heavy Mortar</t>
  </si>
  <si>
    <t>V.Heavy Mortar</t>
  </si>
  <si>
    <t>Date</t>
  </si>
  <si>
    <t>Update</t>
  </si>
  <si>
    <t>Fixed error when Heavy Mortar selected (data format error)</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</si>
</sst>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2"/>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9"/>
      <color theme="1"/>
      <name val="Arial"/>
      <family val="2"/>
    </font>
    <font>
      <sz val="9"/>
      <color theme="1"/>
      <name val="Arial"/>
      <family val="2"/>
    </font>
    <font>
      <b/>
      <sz val="12"/>
      <color theme="1"/>
      <name val="Arial"/>
      <family val="2"/>
    </font>
    <font>
      <sz val="12"/>
      <color theme="1"/>
      <name val="Calibri"/>
      <family val="2"/>
      <scheme val="minor"/>
    </font>
    <font>
      <b/>
      <sz val="12"/>
      <color theme="1"/>
      <name val="Calibri"/>
      <family val="2"/>
      <scheme val="minor"/>
    </font>
    <font>
      <b/>
      <sz val="9"/>
      <color rgb="FFFF0000"/>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8"/>
      <name val="Arial"/>
      <family val="2"/>
    </font>
    <font>
      <sz val="8"/>
      <color rgb="FF00B050"/>
      <name val="Calibri"/>
      <family val="2"/>
      <scheme val="minor"/>
    </font>
    <font>
      <sz val="11"/>
      <color rgb="FF00B050"/>
      <name val="Calibri"/>
      <family val="2"/>
      <scheme val="minor"/>
    </font>
    <font>
      <sz val="12"/>
      <color rgb="FF00B050"/>
      <name val="Calibri"/>
      <family val="2"/>
      <scheme val="minor"/>
    </font>
    <font>
      <b/>
      <sz val="20"/>
      <color theme="1"/>
      <name val="Calibri"/>
      <family val="2"/>
      <scheme val="minor"/>
    </font>
    <font>
      <sz val="10"/>
      <color theme="1"/>
      <name val="Arial"/>
      <family val="2"/>
    </font>
    <font>
      <i/>
      <sz val="8"/>
      <color theme="1"/>
      <name val="Calibri"/>
      <family val="2"/>
      <scheme val="minor"/>
    </font>
    <font>
      <sz val="9"/>
      <name val="Arial"/>
      <family val="2"/>
    </font>
  </fonts>
  <fills count="8">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rgb="FFC6EFCE"/>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indexed="64"/>
      </left>
      <right/>
      <top/>
      <bottom/>
      <diagonal/>
    </border>
    <border>
      <left/>
      <right style="thin">
        <color indexed="64"/>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7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1" fillId="7" borderId="0" applyNumberFormat="0" applyBorder="0" applyAlignment="0" applyProtection="0"/>
  </cellStyleXfs>
  <cellXfs count="126">
    <xf numFmtId="0" fontId="0" fillId="0" borderId="0" xfId="0"/>
    <xf numFmtId="0" fontId="3" fillId="0" borderId="0" xfId="0" applyFont="1"/>
    <xf numFmtId="0" fontId="3" fillId="0" borderId="0" xfId="0" applyFont="1" applyBorder="1"/>
    <xf numFmtId="0" fontId="3" fillId="0" borderId="0" xfId="0" applyFont="1" applyFill="1" applyBorder="1"/>
    <xf numFmtId="0" fontId="4" fillId="0" borderId="0" xfId="0" applyFont="1"/>
    <xf numFmtId="0" fontId="6" fillId="0" borderId="0" xfId="0" applyFont="1" applyBorder="1" applyAlignment="1">
      <alignment horizontal="left" indent="1"/>
    </xf>
    <xf numFmtId="0" fontId="6" fillId="0" borderId="0" xfId="0" applyFont="1" applyBorder="1" applyAlignment="1">
      <alignment horizontal="right"/>
    </xf>
    <xf numFmtId="0" fontId="6" fillId="0" borderId="0" xfId="0" applyFont="1" applyFill="1" applyBorder="1"/>
    <xf numFmtId="0" fontId="8" fillId="0" borderId="0" xfId="0" applyFont="1"/>
    <xf numFmtId="0" fontId="5" fillId="0" borderId="1" xfId="0" applyFont="1" applyBorder="1"/>
    <xf numFmtId="0" fontId="6" fillId="0" borderId="1" xfId="0" applyFont="1" applyBorder="1" applyAlignment="1">
      <alignment horizontal="left" indent="1"/>
    </xf>
    <xf numFmtId="0" fontId="6" fillId="0" borderId="1" xfId="0" applyFont="1" applyBorder="1" applyAlignment="1">
      <alignment horizontal="right"/>
    </xf>
    <xf numFmtId="0" fontId="5" fillId="0" borderId="1" xfId="0" applyFont="1" applyBorder="1" applyAlignment="1">
      <alignment horizontal="right"/>
    </xf>
    <xf numFmtId="0" fontId="6" fillId="0" borderId="1" xfId="0" applyFont="1" applyFill="1" applyBorder="1" applyAlignment="1">
      <alignment horizontal="left" indent="1"/>
    </xf>
    <xf numFmtId="0" fontId="5" fillId="0" borderId="1" xfId="0" applyFont="1" applyFill="1" applyBorder="1" applyAlignment="1">
      <alignment horizontal="left"/>
    </xf>
    <xf numFmtId="0" fontId="9" fillId="2" borderId="1" xfId="0" applyFont="1" applyFill="1" applyBorder="1" applyAlignment="1">
      <alignment horizontal="right"/>
    </xf>
    <xf numFmtId="0" fontId="9" fillId="3" borderId="1" xfId="0" applyFont="1" applyFill="1" applyBorder="1" applyAlignment="1">
      <alignment horizontal="right"/>
    </xf>
    <xf numFmtId="0" fontId="0" fillId="0" borderId="0" xfId="0" applyBorder="1"/>
    <xf numFmtId="0" fontId="1" fillId="0" borderId="0" xfId="0" quotePrefix="1" applyFont="1" applyAlignment="1">
      <alignment horizontal="right"/>
    </xf>
    <xf numFmtId="0" fontId="13" fillId="0" borderId="0" xfId="0" applyFont="1"/>
    <xf numFmtId="0" fontId="0" fillId="0" borderId="4" xfId="0" applyBorder="1"/>
    <xf numFmtId="0" fontId="4" fillId="0" borderId="0" xfId="0" applyFont="1" applyBorder="1" applyAlignment="1">
      <alignment horizontal="center"/>
    </xf>
    <xf numFmtId="0" fontId="14" fillId="0" borderId="1" xfId="0" applyFont="1" applyBorder="1" applyAlignment="1">
      <alignment horizontal="center" vertical="center"/>
    </xf>
    <xf numFmtId="0" fontId="14" fillId="0" borderId="1" xfId="0" applyFont="1" applyBorder="1" applyAlignment="1">
      <alignment vertical="center"/>
    </xf>
    <xf numFmtId="0" fontId="10" fillId="0" borderId="2" xfId="0" applyFont="1" applyBorder="1" applyAlignment="1">
      <alignment horizontal="center"/>
    </xf>
    <xf numFmtId="0" fontId="10" fillId="0" borderId="3" xfId="0" applyFont="1" applyBorder="1" applyAlignment="1">
      <alignment horizontal="center"/>
    </xf>
    <xf numFmtId="0" fontId="6" fillId="0" borderId="0" xfId="0" applyFont="1" applyBorder="1"/>
    <xf numFmtId="0" fontId="5" fillId="0" borderId="0" xfId="0" applyFont="1" applyBorder="1" applyAlignment="1">
      <alignment horizontal="right"/>
    </xf>
    <xf numFmtId="0" fontId="6" fillId="0" borderId="0" xfId="0" applyFont="1" applyBorder="1" applyAlignment="1" applyProtection="1">
      <alignment horizontal="left" indent="1"/>
      <protection locked="0"/>
    </xf>
    <xf numFmtId="0" fontId="5" fillId="0" borderId="0" xfId="0" applyFont="1" applyFill="1" applyBorder="1" applyAlignment="1">
      <alignment horizontal="left"/>
    </xf>
    <xf numFmtId="0" fontId="2" fillId="0" borderId="0" xfId="0" applyFont="1" applyBorder="1"/>
    <xf numFmtId="0" fontId="15" fillId="0" borderId="0" xfId="0" applyFont="1"/>
    <xf numFmtId="0" fontId="16" fillId="0" borderId="0" xfId="0" applyFont="1"/>
    <xf numFmtId="0" fontId="17" fillId="0" borderId="0" xfId="0" applyFont="1"/>
    <xf numFmtId="0" fontId="16" fillId="0" borderId="0" xfId="0" applyFont="1" applyBorder="1"/>
    <xf numFmtId="0" fontId="15" fillId="0" borderId="0" xfId="0" applyFont="1" applyBorder="1"/>
    <xf numFmtId="0" fontId="10" fillId="0" borderId="5" xfId="0" applyFont="1" applyBorder="1" applyAlignment="1">
      <alignment horizontal="center"/>
    </xf>
    <xf numFmtId="0" fontId="10" fillId="0" borderId="5" xfId="0" applyFont="1" applyBorder="1" applyAlignment="1">
      <alignment horizontal="center"/>
    </xf>
    <xf numFmtId="0" fontId="0" fillId="0" borderId="0" xfId="0" applyFont="1" applyBorder="1"/>
    <xf numFmtId="0" fontId="5" fillId="0" borderId="1" xfId="0" applyFont="1" applyBorder="1" applyAlignment="1">
      <alignment horizontal="left"/>
    </xf>
    <xf numFmtId="0" fontId="6" fillId="0" borderId="2" xfId="0" applyFont="1" applyFill="1" applyBorder="1" applyAlignment="1">
      <alignment horizontal="left" indent="1"/>
    </xf>
    <xf numFmtId="0" fontId="0" fillId="0" borderId="1" xfId="0" applyBorder="1"/>
    <xf numFmtId="0" fontId="2" fillId="5" borderId="1" xfId="0" applyFont="1" applyFill="1" applyBorder="1" applyAlignment="1">
      <alignment horizontal="left"/>
    </xf>
    <xf numFmtId="0" fontId="2" fillId="5" borderId="1" xfId="0" applyFont="1" applyFill="1" applyBorder="1" applyAlignment="1">
      <alignment horizontal="right"/>
    </xf>
    <xf numFmtId="0" fontId="0" fillId="0" borderId="1" xfId="0" applyBorder="1" applyAlignment="1">
      <alignment vertical="top" wrapText="1"/>
    </xf>
    <xf numFmtId="0" fontId="2" fillId="5" borderId="2" xfId="0" applyFont="1" applyFill="1" applyBorder="1" applyAlignment="1">
      <alignment horizontal="left"/>
    </xf>
    <xf numFmtId="0" fontId="0" fillId="0" borderId="1" xfId="0" applyBorder="1" applyAlignment="1">
      <alignment horizontal="right" vertical="center"/>
    </xf>
    <xf numFmtId="0" fontId="6" fillId="0" borderId="2" xfId="0" applyFont="1" applyFill="1" applyBorder="1" applyAlignment="1">
      <alignment horizontal="left" indent="1"/>
    </xf>
    <xf numFmtId="0" fontId="0" fillId="6" borderId="5" xfId="0" applyFill="1" applyBorder="1"/>
    <xf numFmtId="0" fontId="0" fillId="6" borderId="6" xfId="0" applyFill="1" applyBorder="1"/>
    <xf numFmtId="0" fontId="0" fillId="6" borderId="0" xfId="0" applyFill="1" applyBorder="1"/>
    <xf numFmtId="0" fontId="0" fillId="6" borderId="7" xfId="0" applyFill="1" applyBorder="1"/>
    <xf numFmtId="0" fontId="0" fillId="6" borderId="2" xfId="0" applyFill="1" applyBorder="1"/>
    <xf numFmtId="0" fontId="0" fillId="6" borderId="3" xfId="0" applyFill="1" applyBorder="1"/>
    <xf numFmtId="0" fontId="0" fillId="0" borderId="4" xfId="0" applyBorder="1" applyAlignment="1">
      <alignment vertical="top"/>
    </xf>
    <xf numFmtId="0" fontId="6" fillId="0" borderId="2" xfId="0" applyFont="1" applyFill="1" applyBorder="1" applyAlignment="1">
      <alignment horizontal="left" indent="1"/>
    </xf>
    <xf numFmtId="0" fontId="10" fillId="0" borderId="2" xfId="0" applyFont="1" applyBorder="1" applyAlignment="1">
      <alignment horizontal="center"/>
    </xf>
    <xf numFmtId="0" fontId="10" fillId="0" borderId="5" xfId="0" applyFont="1" applyBorder="1" applyAlignment="1">
      <alignment horizontal="center"/>
    </xf>
    <xf numFmtId="0" fontId="10" fillId="0" borderId="3" xfId="0" applyFont="1" applyBorder="1" applyAlignment="1">
      <alignment horizontal="center"/>
    </xf>
    <xf numFmtId="0" fontId="2" fillId="5" borderId="2" xfId="0" applyFont="1" applyFill="1" applyBorder="1" applyAlignment="1">
      <alignment horizontal="left"/>
    </xf>
    <xf numFmtId="0" fontId="0" fillId="0" borderId="1" xfId="0" applyBorder="1" applyAlignment="1">
      <alignment horizontal="right" vertical="center"/>
    </xf>
    <xf numFmtId="0" fontId="0" fillId="0" borderId="1" xfId="0" applyBorder="1" applyAlignment="1">
      <alignment horizontal="left" vertical="top" wrapText="1"/>
    </xf>
    <xf numFmtId="0" fontId="0" fillId="0" borderId="1" xfId="0" applyBorder="1" applyAlignment="1">
      <alignment vertical="center"/>
    </xf>
    <xf numFmtId="0" fontId="0" fillId="0" borderId="1" xfId="0" applyBorder="1" applyAlignment="1">
      <alignment horizontal="left" vertical="top"/>
    </xf>
    <xf numFmtId="0" fontId="4" fillId="0" borderId="0" xfId="0" applyFont="1" applyAlignment="1"/>
    <xf numFmtId="0" fontId="19" fillId="0" borderId="0" xfId="0" applyFont="1" applyAlignment="1">
      <alignment vertical="top"/>
    </xf>
    <xf numFmtId="0" fontId="20" fillId="0" borderId="0" xfId="0" applyFont="1"/>
    <xf numFmtId="0" fontId="21" fillId="7" borderId="1" xfId="275" applyBorder="1" applyAlignment="1" applyProtection="1">
      <alignment horizontal="left" indent="1"/>
      <protection locked="0"/>
    </xf>
    <xf numFmtId="0" fontId="21" fillId="7" borderId="2" xfId="275" applyBorder="1" applyAlignment="1" applyProtection="1">
      <alignment horizontal="left" indent="1"/>
      <protection locked="0"/>
    </xf>
    <xf numFmtId="0" fontId="21" fillId="7" borderId="2" xfId="275" applyBorder="1" applyAlignment="1" applyProtection="1">
      <alignment horizontal="left"/>
      <protection locked="0"/>
    </xf>
    <xf numFmtId="0" fontId="5" fillId="0" borderId="0" xfId="0" applyFont="1" applyFill="1" applyBorder="1" applyAlignment="1" applyProtection="1">
      <alignment horizontal="left" indent="1"/>
      <protection locked="0"/>
    </xf>
    <xf numFmtId="0" fontId="5" fillId="0" borderId="0" xfId="0" applyFont="1" applyFill="1" applyBorder="1" applyAlignment="1" applyProtection="1">
      <alignment horizontal="left"/>
      <protection locked="0"/>
    </xf>
    <xf numFmtId="0" fontId="21" fillId="7" borderId="1" xfId="275" applyBorder="1" applyAlignment="1" applyProtection="1">
      <alignment horizontal="right"/>
      <protection locked="0"/>
    </xf>
    <xf numFmtId="0" fontId="10" fillId="0" borderId="2" xfId="0" applyFont="1" applyFill="1" applyBorder="1" applyAlignment="1">
      <alignment horizontal="left"/>
    </xf>
    <xf numFmtId="0" fontId="10" fillId="0" borderId="5" xfId="0" applyFont="1" applyFill="1" applyBorder="1" applyAlignment="1">
      <alignment horizontal="left"/>
    </xf>
    <xf numFmtId="0" fontId="10" fillId="0" borderId="3" xfId="0" applyFont="1" applyFill="1" applyBorder="1" applyAlignment="1">
      <alignment horizontal="left"/>
    </xf>
    <xf numFmtId="0" fontId="10" fillId="0" borderId="2" xfId="0" applyFont="1" applyFill="1" applyBorder="1" applyAlignment="1">
      <alignment horizontal="left"/>
    </xf>
    <xf numFmtId="0" fontId="0" fillId="0" borderId="1" xfId="0" applyBorder="1" applyAlignment="1">
      <alignment horizontal="left" vertical="top" wrapText="1"/>
    </xf>
    <xf numFmtId="1" fontId="6" fillId="0" borderId="1" xfId="0" applyNumberFormat="1" applyFont="1" applyBorder="1" applyAlignment="1">
      <alignment horizontal="right"/>
    </xf>
    <xf numFmtId="1" fontId="5" fillId="0" borderId="1" xfId="0" applyNumberFormat="1" applyFont="1" applyBorder="1" applyAlignment="1">
      <alignment horizontal="right"/>
    </xf>
    <xf numFmtId="1" fontId="6" fillId="0" borderId="0" xfId="0" applyNumberFormat="1" applyFont="1" applyBorder="1" applyAlignment="1">
      <alignment horizontal="right"/>
    </xf>
    <xf numFmtId="1" fontId="9" fillId="2" borderId="1" xfId="0" applyNumberFormat="1" applyFont="1" applyFill="1" applyBorder="1" applyAlignment="1">
      <alignment horizontal="right"/>
    </xf>
    <xf numFmtId="1" fontId="14" fillId="0" borderId="1" xfId="0" applyNumberFormat="1" applyFont="1" applyBorder="1" applyAlignment="1">
      <alignment vertical="center"/>
    </xf>
    <xf numFmtId="0" fontId="0" fillId="0" borderId="2" xfId="0" applyBorder="1"/>
    <xf numFmtId="0" fontId="0" fillId="0" borderId="5" xfId="0" applyBorder="1"/>
    <xf numFmtId="0" fontId="0" fillId="0" borderId="3" xfId="0" applyBorder="1"/>
    <xf numFmtId="0" fontId="6" fillId="0" borderId="2" xfId="0" applyFont="1" applyFill="1" applyBorder="1" applyAlignment="1">
      <alignment horizontal="left" indent="1"/>
    </xf>
    <xf numFmtId="0" fontId="6" fillId="0" borderId="3" xfId="0" applyFont="1" applyFill="1" applyBorder="1" applyAlignment="1">
      <alignment horizontal="left" indent="1"/>
    </xf>
    <xf numFmtId="0" fontId="7" fillId="3" borderId="2" xfId="0" applyFont="1" applyFill="1" applyBorder="1" applyAlignment="1">
      <alignment horizontal="left"/>
    </xf>
    <xf numFmtId="0" fontId="7" fillId="3" borderId="5" xfId="0" applyFont="1" applyFill="1" applyBorder="1" applyAlignment="1">
      <alignment horizontal="left"/>
    </xf>
    <xf numFmtId="0" fontId="7" fillId="3" borderId="3" xfId="0" applyFont="1" applyFill="1" applyBorder="1" applyAlignment="1">
      <alignment horizontal="left"/>
    </xf>
    <xf numFmtId="0" fontId="10" fillId="0" borderId="2" xfId="0" applyFont="1" applyBorder="1" applyAlignment="1">
      <alignment horizontal="center"/>
    </xf>
    <xf numFmtId="0" fontId="10" fillId="0" borderId="5" xfId="0" applyFont="1" applyBorder="1" applyAlignment="1">
      <alignment horizontal="center"/>
    </xf>
    <xf numFmtId="0" fontId="10" fillId="0" borderId="3" xfId="0" applyFont="1" applyBorder="1" applyAlignment="1">
      <alignment horizontal="center"/>
    </xf>
    <xf numFmtId="0" fontId="7" fillId="2" borderId="2" xfId="0" applyFont="1" applyFill="1" applyBorder="1" applyAlignment="1">
      <alignment horizontal="left"/>
    </xf>
    <xf numFmtId="0" fontId="7" fillId="2" borderId="5" xfId="0" applyFont="1" applyFill="1" applyBorder="1" applyAlignment="1">
      <alignment horizontal="left"/>
    </xf>
    <xf numFmtId="0" fontId="7" fillId="2" borderId="3" xfId="0" applyFont="1" applyFill="1" applyBorder="1" applyAlignment="1">
      <alignment horizontal="left"/>
    </xf>
    <xf numFmtId="0" fontId="6" fillId="0" borderId="2" xfId="0" applyFont="1" applyFill="1" applyBorder="1" applyAlignment="1">
      <alignment horizontal="left" vertical="center" indent="1"/>
    </xf>
    <xf numFmtId="0" fontId="6" fillId="0" borderId="3" xfId="0" applyFont="1" applyFill="1" applyBorder="1" applyAlignment="1">
      <alignment horizontal="left" vertical="center" indent="1"/>
    </xf>
    <xf numFmtId="0" fontId="10" fillId="0" borderId="2" xfId="0" applyFont="1" applyFill="1" applyBorder="1" applyAlignment="1">
      <alignment horizontal="left"/>
    </xf>
    <xf numFmtId="0" fontId="10" fillId="0" borderId="5" xfId="0" applyFont="1" applyFill="1" applyBorder="1" applyAlignment="1">
      <alignment horizontal="left"/>
    </xf>
    <xf numFmtId="0" fontId="10" fillId="0" borderId="3" xfId="0" applyFont="1" applyFill="1" applyBorder="1" applyAlignment="1">
      <alignment horizontal="left"/>
    </xf>
    <xf numFmtId="0" fontId="6" fillId="0" borderId="2" xfId="0" applyFont="1" applyBorder="1" applyAlignment="1">
      <alignment horizontal="left" indent="1"/>
    </xf>
    <xf numFmtId="0" fontId="6" fillId="0" borderId="3" xfId="0" applyFont="1" applyBorder="1" applyAlignment="1">
      <alignment horizontal="left" indent="1"/>
    </xf>
    <xf numFmtId="0" fontId="2" fillId="5" borderId="2" xfId="0" applyFont="1" applyFill="1" applyBorder="1" applyAlignment="1">
      <alignment horizontal="right" indent="1"/>
    </xf>
    <xf numFmtId="0" fontId="2" fillId="5" borderId="3" xfId="0" applyFont="1" applyFill="1" applyBorder="1" applyAlignment="1">
      <alignment horizontal="right" indent="1"/>
    </xf>
    <xf numFmtId="0" fontId="2" fillId="5" borderId="2" xfId="0" applyFont="1" applyFill="1" applyBorder="1" applyAlignment="1">
      <alignment horizontal="left"/>
    </xf>
    <xf numFmtId="0" fontId="2" fillId="5" borderId="3" xfId="0" applyFont="1" applyFill="1" applyBorder="1" applyAlignment="1">
      <alignment horizontal="left"/>
    </xf>
    <xf numFmtId="0" fontId="0" fillId="0" borderId="9" xfId="0" applyBorder="1" applyAlignment="1">
      <alignment horizontal="right" vertical="center"/>
    </xf>
    <xf numFmtId="0" fontId="0" fillId="0" borderId="10" xfId="0" applyBorder="1" applyAlignment="1">
      <alignment horizontal="righ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18" fillId="0" borderId="8" xfId="0" applyFont="1" applyBorder="1" applyAlignment="1">
      <alignment horizontal="center"/>
    </xf>
    <xf numFmtId="0" fontId="4" fillId="4" borderId="2" xfId="0" applyFont="1" applyFill="1" applyBorder="1" applyAlignment="1">
      <alignment horizontal="left"/>
    </xf>
    <xf numFmtId="0" fontId="4" fillId="4" borderId="5" xfId="0" applyFont="1" applyFill="1" applyBorder="1" applyAlignment="1">
      <alignment horizontal="left"/>
    </xf>
    <xf numFmtId="0" fontId="4" fillId="4" borderId="3" xfId="0" applyFont="1" applyFill="1" applyBorder="1" applyAlignment="1">
      <alignment horizontal="left"/>
    </xf>
    <xf numFmtId="0" fontId="4" fillId="3" borderId="2" xfId="0" applyFont="1" applyFill="1" applyBorder="1" applyAlignment="1">
      <alignment horizontal="left"/>
    </xf>
    <xf numFmtId="0" fontId="4" fillId="3" borderId="5" xfId="0" applyFont="1" applyFill="1" applyBorder="1" applyAlignment="1">
      <alignment horizontal="left"/>
    </xf>
    <xf numFmtId="0" fontId="4" fillId="3" borderId="3" xfId="0" applyFont="1" applyFill="1" applyBorder="1" applyAlignment="1">
      <alignment horizontal="left"/>
    </xf>
    <xf numFmtId="14" fontId="0" fillId="0" borderId="13" xfId="0" applyNumberFormat="1" applyBorder="1"/>
    <xf numFmtId="0" fontId="0" fillId="0" borderId="14" xfId="0" applyBorder="1"/>
    <xf numFmtId="0" fontId="0" fillId="0" borderId="13" xfId="0" applyBorder="1"/>
    <xf numFmtId="0" fontId="0" fillId="0" borderId="15" xfId="0" applyBorder="1"/>
    <xf numFmtId="0" fontId="0" fillId="0" borderId="16" xfId="0" applyBorder="1"/>
    <xf numFmtId="0" fontId="0" fillId="3" borderId="11" xfId="0" applyFill="1" applyBorder="1"/>
    <xf numFmtId="0" fontId="0" fillId="3" borderId="12" xfId="0" applyFill="1" applyBorder="1"/>
  </cellXfs>
  <cellStyles count="27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Good" xfId="275" builtinId="26" customBuilti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Normal" xfId="0" builtinId="0"/>
  </cellStyles>
  <dxfs count="3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rgb="FFFF0000"/>
      </font>
    </dxf>
    <dxf>
      <font>
        <color rgb="FFFF0000"/>
      </font>
    </dxf>
    <dxf>
      <font>
        <color rgb="FFFF0000"/>
      </font>
    </dxf>
    <dxf>
      <font>
        <color rgb="FFFF0000"/>
      </font>
    </dxf>
    <dxf>
      <font>
        <color theme="0"/>
      </font>
      <fill>
        <patternFill patternType="none">
          <bgColor auto="1"/>
        </patternFill>
      </fill>
      <border>
        <left/>
        <right/>
        <top/>
        <bottom/>
      </border>
    </dxf>
    <dxf>
      <font>
        <color rgb="FFFF0000"/>
      </font>
    </dxf>
    <dxf>
      <font>
        <color rgb="FFFF0000"/>
      </font>
    </dxf>
    <dxf>
      <font>
        <color rgb="FFFF0000"/>
      </font>
    </dxf>
    <dxf>
      <font>
        <color rgb="FFFF0000"/>
      </font>
    </dxf>
    <dxf>
      <font>
        <color rgb="FFFF0000"/>
      </font>
    </dxf>
    <dxf>
      <font>
        <color theme="0"/>
      </font>
      <fill>
        <patternFill patternType="none">
          <bgColor auto="1"/>
        </patternFill>
      </fill>
      <border>
        <left/>
        <right/>
        <top/>
        <bottom/>
      </border>
    </dxf>
    <dxf>
      <font>
        <color rgb="FFFF0000"/>
      </font>
    </dxf>
    <dxf>
      <font>
        <color rgb="FFFF0000"/>
      </font>
    </dxf>
    <dxf>
      <font>
        <color rgb="FFFF0000"/>
      </font>
    </dxf>
    <dxf>
      <font>
        <color rgb="FFFF0000"/>
      </font>
    </dxf>
    <dxf>
      <font>
        <color rgb="FFFF0000"/>
      </font>
    </dxf>
    <dxf>
      <font>
        <color rgb="FFFF0000"/>
      </font>
    </dxf>
    <dxf>
      <font>
        <color theme="0"/>
      </font>
      <fill>
        <patternFill patternType="none">
          <bgColor auto="1"/>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0</xdr:rowOff>
    </xdr:from>
    <xdr:to>
      <xdr:col>4</xdr:col>
      <xdr:colOff>0</xdr:colOff>
      <xdr:row>7</xdr:row>
      <xdr:rowOff>322500</xdr:rowOff>
    </xdr:to>
    <xdr:pic>
      <xdr:nvPicPr>
        <xdr:cNvPr id="2" name="Picture 1" descr="boltaction_logo.png"/>
        <xdr:cNvPicPr>
          <a:picLocks noChangeAspect="1"/>
        </xdr:cNvPicPr>
      </xdr:nvPicPr>
      <xdr:blipFill rotWithShape="1">
        <a:blip xmlns:r="http://schemas.openxmlformats.org/officeDocument/2006/relationships" r:embed="rId1" cstate="print"/>
        <a:srcRect t="-1" b="2033"/>
        <a:stretch/>
      </xdr:blipFill>
      <xdr:spPr>
        <a:xfrm>
          <a:off x="9524" y="0"/>
          <a:ext cx="5133976" cy="16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714374</xdr:colOff>
      <xdr:row>7</xdr:row>
      <xdr:rowOff>267168</xdr:rowOff>
    </xdr:to>
    <xdr:pic>
      <xdr:nvPicPr>
        <xdr:cNvPr id="4" name="Picture 3" descr="boltaction_logo.png"/>
        <xdr:cNvPicPr>
          <a:picLocks noChangeAspect="1"/>
        </xdr:cNvPicPr>
      </xdr:nvPicPr>
      <xdr:blipFill>
        <a:blip xmlns:r="http://schemas.openxmlformats.org/officeDocument/2006/relationships" r:embed="rId1" cstate="print"/>
        <a:stretch>
          <a:fillRect/>
        </a:stretch>
      </xdr:blipFill>
      <xdr:spPr>
        <a:xfrm>
          <a:off x="0" y="0"/>
          <a:ext cx="7743824" cy="16006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714374</xdr:colOff>
      <xdr:row>7</xdr:row>
      <xdr:rowOff>267168</xdr:rowOff>
    </xdr:to>
    <xdr:pic>
      <xdr:nvPicPr>
        <xdr:cNvPr id="5" name="Picture 4" descr="boltaction_logo.png"/>
        <xdr:cNvPicPr>
          <a:picLocks noChangeAspect="1"/>
        </xdr:cNvPicPr>
      </xdr:nvPicPr>
      <xdr:blipFill>
        <a:blip xmlns:r="http://schemas.openxmlformats.org/officeDocument/2006/relationships" r:embed="rId1" cstate="print"/>
        <a:stretch>
          <a:fillRect/>
        </a:stretch>
      </xdr:blipFill>
      <xdr:spPr>
        <a:xfrm>
          <a:off x="0" y="0"/>
          <a:ext cx="7743824" cy="16006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565"/>
  <sheetViews>
    <sheetView showGridLines="0" tabSelected="1" zoomScaleNormal="100" workbookViewId="0">
      <selection activeCell="C88" sqref="C88"/>
    </sheetView>
  </sheetViews>
  <sheetFormatPr defaultColWidth="8.85546875" defaultRowHeight="15" x14ac:dyDescent="0.25"/>
  <cols>
    <col min="1" max="1" width="20.7109375" customWidth="1"/>
    <col min="2" max="2" width="26" customWidth="1"/>
    <col min="3" max="3" width="21.7109375" customWidth="1"/>
    <col min="4" max="4" width="8.7109375" customWidth="1"/>
    <col min="5" max="5" width="3.5703125" hidden="1" customWidth="1"/>
    <col min="6" max="6" width="3.140625" hidden="1" customWidth="1"/>
    <col min="7" max="7" width="6.85546875" customWidth="1"/>
    <col min="8" max="8" width="20.42578125" customWidth="1"/>
    <col min="9" max="9" width="26" customWidth="1"/>
    <col min="10" max="10" width="21.7109375" customWidth="1"/>
    <col min="12" max="12" width="3.42578125" hidden="1" customWidth="1"/>
    <col min="13" max="13" width="2.85546875" hidden="1" customWidth="1"/>
  </cols>
  <sheetData>
    <row r="1" spans="1:30" x14ac:dyDescent="0.25">
      <c r="H1" s="32"/>
      <c r="I1" s="32"/>
      <c r="J1" s="32"/>
      <c r="K1" s="32"/>
      <c r="L1" s="32"/>
      <c r="M1" s="32"/>
      <c r="N1" s="32"/>
      <c r="O1" s="32"/>
      <c r="P1" s="32"/>
      <c r="Q1" s="32"/>
      <c r="R1" s="32"/>
      <c r="S1" s="32"/>
      <c r="T1" s="32"/>
      <c r="U1" s="32"/>
      <c r="V1" s="32"/>
      <c r="W1" s="32"/>
      <c r="X1" s="32"/>
      <c r="Y1" s="32"/>
      <c r="Z1" s="32"/>
      <c r="AA1" s="32"/>
      <c r="AB1" s="32"/>
      <c r="AC1" s="32"/>
      <c r="AD1" s="32"/>
    </row>
    <row r="2" spans="1:30" x14ac:dyDescent="0.25">
      <c r="H2" s="32"/>
      <c r="I2" s="32"/>
      <c r="J2" s="32"/>
      <c r="K2" s="32"/>
      <c r="L2" s="32"/>
      <c r="M2" s="32"/>
      <c r="N2" s="32"/>
      <c r="O2" s="32"/>
      <c r="P2" s="32"/>
      <c r="Q2" s="32"/>
      <c r="R2" s="32"/>
      <c r="S2" s="32"/>
      <c r="T2" s="32"/>
      <c r="U2" s="32"/>
      <c r="V2" s="32"/>
      <c r="W2" s="32"/>
      <c r="X2" s="32"/>
      <c r="Y2" s="32"/>
      <c r="Z2" s="32"/>
      <c r="AA2" s="32"/>
      <c r="AB2" s="32"/>
      <c r="AC2" s="32"/>
      <c r="AD2" s="32"/>
    </row>
    <row r="3" spans="1:30" x14ac:dyDescent="0.25">
      <c r="H3" s="32"/>
      <c r="I3" s="32"/>
      <c r="J3" s="32"/>
      <c r="K3" s="32"/>
      <c r="L3" s="32"/>
      <c r="M3" s="32"/>
      <c r="N3" s="32"/>
      <c r="O3" s="32"/>
      <c r="P3" s="32"/>
      <c r="Q3" s="32"/>
      <c r="R3" s="32"/>
      <c r="S3" s="32"/>
      <c r="T3" s="32"/>
      <c r="U3" s="32"/>
      <c r="V3" s="32"/>
      <c r="W3" s="32"/>
      <c r="X3" s="32"/>
      <c r="Y3" s="32"/>
      <c r="Z3" s="32"/>
      <c r="AA3" s="32"/>
      <c r="AB3" s="32"/>
      <c r="AC3" s="32"/>
      <c r="AD3" s="32"/>
    </row>
    <row r="4" spans="1:30" x14ac:dyDescent="0.25">
      <c r="H4" s="32"/>
      <c r="I4" s="32"/>
      <c r="J4" s="32"/>
      <c r="K4" s="32"/>
      <c r="L4" s="32"/>
      <c r="M4" s="32"/>
      <c r="N4" s="32"/>
      <c r="O4" s="32"/>
      <c r="P4" s="32"/>
      <c r="Q4" s="32"/>
      <c r="R4" s="32"/>
      <c r="S4" s="32"/>
      <c r="T4" s="32"/>
      <c r="U4" s="32"/>
      <c r="V4" s="32"/>
      <c r="W4" s="32"/>
      <c r="X4" s="32"/>
      <c r="Y4" s="32"/>
      <c r="Z4" s="32"/>
      <c r="AA4" s="32"/>
      <c r="AB4" s="32"/>
      <c r="AC4" s="32"/>
      <c r="AD4" s="32"/>
    </row>
    <row r="5" spans="1:30" x14ac:dyDescent="0.25">
      <c r="H5" s="32"/>
      <c r="I5" s="32"/>
      <c r="J5" s="32"/>
      <c r="K5" s="32"/>
      <c r="L5" s="32"/>
      <c r="M5" s="32"/>
      <c r="N5" s="32"/>
      <c r="O5" s="32"/>
      <c r="P5" s="32"/>
      <c r="Q5" s="32"/>
      <c r="R5" s="32"/>
      <c r="S5" s="32"/>
      <c r="T5" s="32"/>
      <c r="U5" s="32"/>
      <c r="V5" s="32"/>
      <c r="W5" s="32"/>
      <c r="X5" s="32"/>
      <c r="Y5" s="32"/>
      <c r="Z5" s="32"/>
      <c r="AA5" s="32"/>
      <c r="AB5" s="32"/>
      <c r="AC5" s="32"/>
      <c r="AD5" s="32"/>
    </row>
    <row r="6" spans="1:30" x14ac:dyDescent="0.25">
      <c r="H6" s="32"/>
      <c r="I6" s="32"/>
      <c r="J6" s="32"/>
      <c r="K6" s="32"/>
      <c r="L6" s="32"/>
      <c r="M6" s="32"/>
      <c r="N6" s="32"/>
      <c r="O6" s="32"/>
      <c r="P6" s="32"/>
      <c r="Q6" s="32"/>
      <c r="R6" s="32"/>
      <c r="S6" s="32"/>
      <c r="T6" s="32"/>
      <c r="U6" s="32"/>
      <c r="V6" s="32"/>
      <c r="W6" s="32"/>
      <c r="X6" s="32"/>
      <c r="Y6" s="32"/>
      <c r="Z6" s="32"/>
      <c r="AA6" s="32"/>
      <c r="AB6" s="32"/>
      <c r="AC6" s="32"/>
      <c r="AD6" s="32"/>
    </row>
    <row r="7" spans="1:30" x14ac:dyDescent="0.25">
      <c r="H7" s="32"/>
      <c r="I7" s="32"/>
      <c r="J7" s="32"/>
      <c r="K7" s="32"/>
      <c r="L7" s="32"/>
      <c r="M7" s="32"/>
      <c r="N7" s="32"/>
      <c r="O7" s="32"/>
      <c r="P7" s="32"/>
      <c r="Q7" s="32"/>
      <c r="R7" s="32"/>
      <c r="S7" s="32"/>
      <c r="T7" s="32"/>
      <c r="U7" s="32"/>
      <c r="V7" s="32"/>
      <c r="W7" s="32"/>
      <c r="X7" s="32"/>
      <c r="Y7" s="32"/>
      <c r="Z7" s="32"/>
      <c r="AA7" s="32"/>
      <c r="AB7" s="32"/>
      <c r="AC7" s="32"/>
      <c r="AD7" s="32"/>
    </row>
    <row r="8" spans="1:30" ht="31.5" customHeight="1" x14ac:dyDescent="0.3">
      <c r="A8" s="64" t="s">
        <v>284</v>
      </c>
      <c r="B8" s="4"/>
      <c r="H8" s="31"/>
      <c r="I8" s="31"/>
      <c r="J8" s="31"/>
      <c r="K8" s="32"/>
      <c r="L8" s="31"/>
      <c r="M8" s="31"/>
      <c r="N8" s="31"/>
      <c r="O8" s="32"/>
      <c r="P8" s="32"/>
      <c r="Q8" s="32"/>
      <c r="R8" s="32"/>
      <c r="S8" s="32"/>
      <c r="T8" s="32"/>
      <c r="U8" s="32"/>
      <c r="V8" s="32"/>
      <c r="W8" s="32"/>
      <c r="X8" s="32"/>
      <c r="Y8" s="32"/>
      <c r="Z8" s="32"/>
      <c r="AA8" s="32"/>
      <c r="AB8" s="32"/>
      <c r="AC8" s="32"/>
      <c r="AD8" s="32"/>
    </row>
    <row r="9" spans="1:30" ht="18.75" x14ac:dyDescent="0.3">
      <c r="A9" s="65" t="s">
        <v>139</v>
      </c>
      <c r="B9" s="4"/>
      <c r="H9" s="31"/>
      <c r="I9" s="31"/>
      <c r="J9" s="31"/>
      <c r="K9" s="32"/>
      <c r="L9" s="31"/>
      <c r="M9" s="31"/>
      <c r="N9" s="31"/>
      <c r="O9" s="32"/>
      <c r="P9" s="32"/>
      <c r="Q9" s="32"/>
      <c r="R9" s="32"/>
      <c r="S9" s="32"/>
      <c r="T9" s="32"/>
      <c r="U9" s="32"/>
      <c r="V9" s="32"/>
      <c r="W9" s="32"/>
      <c r="X9" s="32"/>
      <c r="Y9" s="32"/>
      <c r="Z9" s="32"/>
      <c r="AA9" s="32"/>
      <c r="AB9" s="32"/>
      <c r="AC9" s="32"/>
      <c r="AD9" s="32"/>
    </row>
    <row r="10" spans="1:30" ht="15.75" x14ac:dyDescent="0.25">
      <c r="A10" s="88" t="s">
        <v>89</v>
      </c>
      <c r="B10" s="89"/>
      <c r="C10" s="90"/>
      <c r="D10" s="72">
        <v>1</v>
      </c>
      <c r="E10" s="6"/>
      <c r="F10" s="6"/>
      <c r="G10" s="6"/>
      <c r="H10" s="31"/>
      <c r="I10" s="31"/>
      <c r="J10" s="31"/>
      <c r="K10" s="32"/>
      <c r="L10" s="31"/>
      <c r="M10" s="31"/>
      <c r="N10" s="31"/>
      <c r="O10" s="32"/>
      <c r="P10" s="32"/>
      <c r="Q10" s="32"/>
      <c r="R10" s="32"/>
      <c r="S10" s="32"/>
      <c r="T10" s="32"/>
      <c r="U10" s="32"/>
      <c r="V10" s="32"/>
      <c r="W10" s="32"/>
      <c r="X10" s="32"/>
      <c r="Y10" s="32"/>
      <c r="Z10" s="32"/>
      <c r="AA10" s="32"/>
      <c r="AB10" s="32"/>
      <c r="AC10" s="32"/>
      <c r="AD10" s="32"/>
    </row>
    <row r="11" spans="1:30" x14ac:dyDescent="0.25">
      <c r="H11" s="32"/>
      <c r="I11" s="32"/>
      <c r="J11" s="32"/>
      <c r="K11" s="31"/>
      <c r="L11" s="31"/>
      <c r="M11" s="31"/>
      <c r="N11" s="31"/>
      <c r="O11" s="32"/>
      <c r="P11" s="32"/>
      <c r="Q11" s="32"/>
      <c r="R11" s="32"/>
      <c r="S11" s="32"/>
      <c r="T11" s="32"/>
      <c r="U11" s="32"/>
      <c r="V11" s="32"/>
      <c r="W11" s="32"/>
      <c r="X11" s="32"/>
      <c r="Y11" s="32"/>
      <c r="Z11" s="32"/>
      <c r="AA11" s="32"/>
      <c r="AB11" s="32"/>
      <c r="AC11" s="32"/>
      <c r="AD11" s="32"/>
    </row>
    <row r="12" spans="1:30" s="8" customFormat="1" ht="17.25" customHeight="1" x14ac:dyDescent="0.25">
      <c r="A12" s="88" t="s">
        <v>91</v>
      </c>
      <c r="B12" s="89"/>
      <c r="C12" s="90"/>
      <c r="D12" s="16" t="s">
        <v>40</v>
      </c>
      <c r="E12" s="18"/>
      <c r="F12" s="18"/>
      <c r="G12" s="18"/>
      <c r="H12" s="88" t="s">
        <v>92</v>
      </c>
      <c r="I12" s="89"/>
      <c r="J12" s="90"/>
      <c r="K12" s="16" t="s">
        <v>40</v>
      </c>
      <c r="L12" s="18"/>
      <c r="M12" s="31"/>
      <c r="N12" s="31"/>
      <c r="O12" s="33"/>
      <c r="P12" s="33"/>
      <c r="Q12" s="33"/>
      <c r="R12" s="33"/>
      <c r="S12" s="33"/>
      <c r="T12" s="33"/>
      <c r="U12" s="33"/>
      <c r="V12" s="33"/>
      <c r="W12" s="33"/>
      <c r="X12" s="33"/>
      <c r="Y12" s="33"/>
      <c r="Z12" s="33"/>
      <c r="AA12" s="33"/>
      <c r="AB12" s="33"/>
      <c r="AC12" s="33"/>
      <c r="AD12" s="33"/>
    </row>
    <row r="13" spans="1:30" x14ac:dyDescent="0.25">
      <c r="A13" s="9" t="s">
        <v>34</v>
      </c>
      <c r="B13" s="68" t="s">
        <v>30</v>
      </c>
      <c r="C13" s="67" t="s">
        <v>30</v>
      </c>
      <c r="D13" s="11">
        <f>IF(ISNA(VLOOKUP(LEFT(B13,1)&amp;"."&amp;C13,D_Officers,2,FALSE)),0,VLOOKUP(LEFT(B13,1)&amp;"."&amp;C13,D_Officers,2,FALSE))</f>
        <v>0</v>
      </c>
      <c r="E13" s="11">
        <f>IF(ISNA(VLOOKUP(LEFT(B13,1)&amp;"."&amp;C13,D_Officers,3,FALSE)),0,VLOOKUP(LEFT(B13,1)&amp;"."&amp;C13,D_Officers,3,FALSE))</f>
        <v>0</v>
      </c>
      <c r="F13" s="6"/>
      <c r="G13" s="6"/>
      <c r="H13" s="9" t="s">
        <v>34</v>
      </c>
      <c r="I13" s="68" t="s">
        <v>30</v>
      </c>
      <c r="J13" s="67" t="s">
        <v>30</v>
      </c>
      <c r="K13" s="11">
        <f>IF(ISNA(VLOOKUP(LEFT(I13,1)&amp;"."&amp;J13,D_Officers,2,FALSE)),0,VLOOKUP(LEFT(I13,1)&amp;"."&amp;J13,D_Officers,2,FALSE))</f>
        <v>0</v>
      </c>
      <c r="L13" s="11">
        <f>IF(ISNA(VLOOKUP(LEFT(I13,1)&amp;"."&amp;J13,D_Officers,3,FALSE)),0,VLOOKUP(LEFT(I13,1)&amp;"."&amp;J13,D_Officers,3,FALSE))</f>
        <v>0</v>
      </c>
      <c r="M13" s="31"/>
      <c r="N13" s="31"/>
      <c r="O13" s="32"/>
      <c r="P13" s="31"/>
      <c r="Q13" s="31"/>
      <c r="R13" s="32"/>
      <c r="S13" s="32"/>
      <c r="T13" s="32"/>
      <c r="U13" s="32"/>
      <c r="V13" s="32"/>
      <c r="W13" s="32"/>
      <c r="X13" s="32"/>
      <c r="Y13" s="32"/>
      <c r="Z13" s="32"/>
      <c r="AA13" s="32"/>
      <c r="AB13" s="32"/>
      <c r="AC13" s="32"/>
      <c r="AD13" s="32"/>
    </row>
    <row r="14" spans="1:30" x14ac:dyDescent="0.25">
      <c r="A14" s="10" t="s">
        <v>36</v>
      </c>
      <c r="B14" s="68" t="s">
        <v>30</v>
      </c>
      <c r="C14" s="67" t="s">
        <v>30</v>
      </c>
      <c r="D14" s="11">
        <f>IF(ISNA(VLOOKUP(LEFT(B14,1)&amp;"."&amp;C14,D_AddMen,2,FALSE)),0,VLOOKUP(LEFT(B14,1)&amp;"."&amp;C14,D_AddMen,2,FALSE))</f>
        <v>0</v>
      </c>
      <c r="E14" s="11">
        <f>IF(ISNA(VLOOKUP(LEFT(B14,1)&amp;"."&amp;C14,D_AddMen,3,FALSE)),0,VLOOKUP(LEFT(B14,1)&amp;"."&amp;C14,D_AddMen,3,FALSE))</f>
        <v>0</v>
      </c>
      <c r="F14" s="6"/>
      <c r="G14" s="6"/>
      <c r="H14" s="10" t="s">
        <v>36</v>
      </c>
      <c r="I14" s="68" t="s">
        <v>30</v>
      </c>
      <c r="J14" s="67" t="s">
        <v>30</v>
      </c>
      <c r="K14" s="11">
        <f>IF(ISNA(VLOOKUP(LEFT(I14,1)&amp;"."&amp;J14,D_AddMen,2,FALSE)),0,VLOOKUP(LEFT(I14,1)&amp;"."&amp;J14,D_AddMen,2,FALSE))</f>
        <v>0</v>
      </c>
      <c r="L14" s="11">
        <f>IF(ISNA(VLOOKUP(LEFT(I14,1)&amp;"."&amp;J14,D_AddMen,3,FALSE)),0,VLOOKUP(LEFT(I14,1)&amp;"."&amp;J14,D_AddMen,3,FALSE))</f>
        <v>0</v>
      </c>
      <c r="M14" s="31"/>
      <c r="N14" s="31"/>
      <c r="O14" s="32"/>
      <c r="P14" s="32"/>
      <c r="Q14" s="32"/>
      <c r="R14" s="32"/>
      <c r="S14" s="32"/>
      <c r="T14" s="32"/>
      <c r="U14" s="32"/>
      <c r="V14" s="32"/>
      <c r="W14" s="32"/>
      <c r="X14" s="32"/>
      <c r="Y14" s="32"/>
      <c r="Z14" s="32"/>
      <c r="AA14" s="32"/>
      <c r="AB14" s="32"/>
      <c r="AC14" s="32"/>
      <c r="AD14" s="32"/>
    </row>
    <row r="15" spans="1:30" x14ac:dyDescent="0.25">
      <c r="A15" s="13" t="s">
        <v>37</v>
      </c>
      <c r="B15" s="68" t="s">
        <v>30</v>
      </c>
      <c r="C15" s="67" t="s">
        <v>30</v>
      </c>
      <c r="D15" s="11">
        <f>IF(ISNA(VLOOKUP(LEFT(B15,1)&amp;"."&amp;C15,D_Transport,2,FALSE)),0,VLOOKUP(LEFT(B15,1)&amp;"."&amp;C15,D_Transport,2,FALSE))</f>
        <v>0</v>
      </c>
      <c r="E15" s="11">
        <f>IF(ISNA(VLOOKUP((LEFT(B15,1)&amp;"."&amp;C15),D_Transport,3,FALSE)),0,VLOOKUP((LEFT(B15,1)&amp;"."&amp;C15),D_Transport,3,FALSE))</f>
        <v>0</v>
      </c>
      <c r="F15" s="6"/>
      <c r="G15" s="6"/>
      <c r="H15" s="13" t="s">
        <v>37</v>
      </c>
      <c r="I15" s="68" t="s">
        <v>30</v>
      </c>
      <c r="J15" s="67" t="s">
        <v>30</v>
      </c>
      <c r="K15" s="11">
        <f>IF(ISNA(VLOOKUP(LEFT(I15,1)&amp;"."&amp;J15,D_Transport,2,FALSE)),0,VLOOKUP(LEFT(I15,1)&amp;"."&amp;J15,D_Transport,2,FALSE))</f>
        <v>0</v>
      </c>
      <c r="L15" s="11">
        <f>IF(ISNA(VLOOKUP((LEFT(I15,1)&amp;"."&amp;J15),D_Transport,3,FALSE)),0,VLOOKUP((LEFT(I15,1)&amp;"."&amp;J15),D_Transport,3,FALSE))</f>
        <v>0</v>
      </c>
      <c r="M15" s="31"/>
      <c r="N15" s="31"/>
      <c r="O15" s="32"/>
      <c r="P15" s="32"/>
      <c r="Q15" s="32"/>
      <c r="R15" s="32"/>
      <c r="S15" s="32"/>
      <c r="T15" s="32"/>
      <c r="U15" s="32"/>
      <c r="V15" s="32"/>
      <c r="W15" s="32"/>
      <c r="X15" s="32"/>
      <c r="Y15" s="32"/>
      <c r="Z15" s="32"/>
      <c r="AA15" s="32"/>
      <c r="AB15" s="32"/>
      <c r="AC15" s="32"/>
      <c r="AD15" s="32"/>
    </row>
    <row r="16" spans="1:30" x14ac:dyDescent="0.25">
      <c r="A16" s="91" t="str">
        <f>IF(AND(E13=1,E14&gt;0,B13&lt;&gt;B14),"Officer &amp; Additional Men must be same experience level",IF(AND(E13=0,E14&gt;0),"Cannot select additional men if no Officer selected",IF(AND(E13=0,E15&gt;0),"Cannot select transport no Officer selected","")))</f>
        <v/>
      </c>
      <c r="B16" s="92"/>
      <c r="C16" s="93"/>
      <c r="D16" s="12">
        <f>SUM(D13:D15)</f>
        <v>0</v>
      </c>
      <c r="E16" s="17"/>
      <c r="F16" s="17"/>
      <c r="G16" s="6"/>
      <c r="H16" s="91" t="str">
        <f>IF(AND(L13=1,L14&gt;0,I13&lt;&gt;I14),"Officer &amp; Additional Men must be same experience level",IF(AND(L13=0,L14&gt;0),"Cannot select additional men if no Officer selected",IF(AND(L13=0,L15&gt;0),"Cannot select transport no Officer selected","")))</f>
        <v/>
      </c>
      <c r="I16" s="92"/>
      <c r="J16" s="93"/>
      <c r="K16" s="12">
        <f>SUM(K13:K15)</f>
        <v>0</v>
      </c>
      <c r="L16" s="17"/>
      <c r="M16" s="31"/>
      <c r="N16" s="31"/>
      <c r="O16" s="32"/>
      <c r="P16" s="32"/>
      <c r="Q16" s="32"/>
      <c r="R16" s="32"/>
      <c r="S16" s="32"/>
      <c r="T16" s="32"/>
      <c r="U16" s="32"/>
      <c r="V16" s="32"/>
      <c r="W16" s="32"/>
      <c r="X16" s="32"/>
      <c r="Y16" s="32"/>
      <c r="Z16" s="32"/>
      <c r="AA16" s="32"/>
      <c r="AB16" s="32"/>
      <c r="AC16" s="32"/>
      <c r="AD16" s="32"/>
    </row>
    <row r="17" spans="1:30" ht="5.0999999999999996" customHeight="1" x14ac:dyDescent="0.25">
      <c r="A17" s="26"/>
      <c r="B17" s="26"/>
      <c r="C17" s="26"/>
      <c r="D17" s="27"/>
      <c r="E17" s="17"/>
      <c r="F17" s="17"/>
      <c r="G17" s="6"/>
      <c r="H17" s="26"/>
      <c r="I17" s="26"/>
      <c r="J17" s="26"/>
      <c r="K17" s="27"/>
      <c r="L17" s="17"/>
      <c r="M17" s="31"/>
      <c r="N17" s="31"/>
      <c r="O17" s="32"/>
      <c r="P17" s="32"/>
      <c r="Q17" s="32"/>
      <c r="R17" s="32"/>
      <c r="S17" s="32"/>
      <c r="T17" s="32"/>
      <c r="U17" s="32"/>
      <c r="V17" s="32"/>
      <c r="W17" s="32"/>
      <c r="X17" s="32"/>
      <c r="Y17" s="32"/>
      <c r="Z17" s="32"/>
      <c r="AA17" s="32"/>
      <c r="AB17" s="32"/>
      <c r="AC17" s="32"/>
      <c r="AD17" s="32"/>
    </row>
    <row r="18" spans="1:30" x14ac:dyDescent="0.25">
      <c r="A18" s="9" t="s">
        <v>35</v>
      </c>
      <c r="B18" s="68" t="s">
        <v>30</v>
      </c>
      <c r="C18" s="67" t="s">
        <v>30</v>
      </c>
      <c r="D18" s="11">
        <f>IF(ISNA(VLOOKUP(LEFT(B18,1)&amp;"."&amp;C18,D_Men,2,FALSE)),0,VLOOKUP(LEFT(B18,1)&amp;"."&amp;C18,D_Men,2,FALSE))</f>
        <v>0</v>
      </c>
      <c r="E18" s="11">
        <f>IF(ISNA(VLOOKUP(LEFT(B18,1)&amp;"."&amp;C18,D_Men,3,FALSE)),0,VLOOKUP(LEFT(B18,1)&amp;"."&amp;C18,D_Men,3,FALSE))</f>
        <v>0</v>
      </c>
      <c r="F18" s="11">
        <f>VLOOKUP(B18,'Data Sheet'!$B$1:$C$9,2,FALSE)</f>
        <v>0</v>
      </c>
      <c r="G18" s="6"/>
      <c r="H18" s="9" t="s">
        <v>35</v>
      </c>
      <c r="I18" s="69" t="s">
        <v>30</v>
      </c>
      <c r="J18" s="67" t="s">
        <v>30</v>
      </c>
      <c r="K18" s="11">
        <f>IF(ISNA(VLOOKUP(LEFT(I18,1)&amp;"."&amp;J18,D_Men,2,FALSE)),0,VLOOKUP(LEFT(I18,1)&amp;"."&amp;J18,D_Men,2,FALSE))</f>
        <v>0</v>
      </c>
      <c r="L18" s="11">
        <f>IF(ISNA(VLOOKUP(LEFT(I18,1)&amp;"."&amp;J18,D_Men,3,FALSE)),0,VLOOKUP(LEFT(I18,1)&amp;"."&amp;J18,D_Men,3,FALSE))</f>
        <v>0</v>
      </c>
      <c r="M18" s="11">
        <f>VLOOKUP(I18,'Data Sheet'!$B$1:$C$9,2,FALSE)</f>
        <v>0</v>
      </c>
      <c r="N18" s="31"/>
      <c r="O18" s="32"/>
      <c r="P18" s="31"/>
      <c r="Q18" s="32"/>
      <c r="R18" s="32"/>
      <c r="S18" s="32"/>
      <c r="T18" s="32"/>
      <c r="U18" s="32"/>
      <c r="V18" s="32"/>
      <c r="W18" s="32"/>
      <c r="X18" s="32"/>
      <c r="Y18" s="32"/>
      <c r="Z18" s="32"/>
      <c r="AA18" s="32"/>
      <c r="AB18" s="32"/>
      <c r="AC18" s="32"/>
      <c r="AD18" s="32"/>
    </row>
    <row r="19" spans="1:30" x14ac:dyDescent="0.25">
      <c r="A19" s="86" t="str">
        <f>IF(AND(E19&gt;1,F18=3),"Max 1 Automatic Rifle for Inexperienced squads",IF(AND(E19&gt;1,F18=1),"Max 1 Automatic Rifles for Regular squads","Optional Automatic Rifles"))</f>
        <v>Optional Automatic Rifles</v>
      </c>
      <c r="B19" s="87"/>
      <c r="C19" s="67" t="s">
        <v>217</v>
      </c>
      <c r="D19" s="11">
        <f>VLOOKUP(C19,D_AutoR,2,FALSE)</f>
        <v>0</v>
      </c>
      <c r="E19" s="11">
        <f>VLOOKUP(C19,D_AutoR,3,FALSE)</f>
        <v>0</v>
      </c>
      <c r="F19" s="11">
        <f>IF(AND(E19&gt;1,F18=3),1,IF(AND(E19&gt;1,F18=1),1,0))</f>
        <v>0</v>
      </c>
      <c r="G19" s="6"/>
      <c r="H19" s="86" t="str">
        <f>IF(AND(L19&gt;1,M18=3),"Max 1 Automatic Rifle for Inexperienced squads",IF(AND(L19&gt;1,M18=1),"Max 1 Automatic Rifles for Regular squads","Optional Automatic Rifles"))</f>
        <v>Optional Automatic Rifles</v>
      </c>
      <c r="I19" s="87"/>
      <c r="J19" s="67" t="s">
        <v>217</v>
      </c>
      <c r="K19" s="11">
        <f>VLOOKUP(J19,D_AutoR,2,FALSE)</f>
        <v>0</v>
      </c>
      <c r="L19" s="11">
        <f>VLOOKUP(J19,D_AutoR,3,FALSE)</f>
        <v>0</v>
      </c>
      <c r="M19" s="11">
        <f>IF(AND(L19&gt;1,M18=3),1,IF(AND(L19&gt;1,M18=1),1,0))</f>
        <v>0</v>
      </c>
      <c r="N19" s="31"/>
      <c r="O19" s="32"/>
      <c r="P19" s="32"/>
      <c r="Q19" s="32"/>
      <c r="R19" s="32"/>
      <c r="S19" s="32"/>
      <c r="T19" s="32"/>
      <c r="U19" s="32"/>
      <c r="V19" s="32"/>
      <c r="W19" s="32"/>
      <c r="X19" s="32"/>
      <c r="Y19" s="32"/>
      <c r="Z19" s="32"/>
      <c r="AA19" s="32"/>
      <c r="AB19" s="32"/>
      <c r="AC19" s="32"/>
      <c r="AD19" s="32"/>
    </row>
    <row r="20" spans="1:30" x14ac:dyDescent="0.25">
      <c r="A20" s="86" t="str">
        <f>IF(AND(E20&gt;2,F18=3),"Max 1 SMG for Inexperienced squads",IF(AND(E20&gt;2,F18=1),"Max 2 SMG for Regular squads","Optional SMG"))</f>
        <v>Optional SMG</v>
      </c>
      <c r="B20" s="87"/>
      <c r="C20" s="67" t="s">
        <v>27</v>
      </c>
      <c r="D20" s="11">
        <f>VLOOKUP(C20,D_SMG,2,FALSE)</f>
        <v>0</v>
      </c>
      <c r="E20" s="11">
        <f>VLOOKUP(C20,D_SMG,3,FALSE)</f>
        <v>0</v>
      </c>
      <c r="F20" s="11">
        <f>IF(AND(E20&gt;2,F18=3),1,IF(AND(E20&gt;2,F18=1),1,0))</f>
        <v>0</v>
      </c>
      <c r="G20" s="6"/>
      <c r="H20" s="86" t="str">
        <f>IF(AND(L20&gt;1,M18=3),"Max 1 SMG for Inexperienced squads",IF(AND(L20&gt;2,M18=1),"Max 2 SMG for Regular squads","Optional SMG"))</f>
        <v>Optional SMG</v>
      </c>
      <c r="I20" s="87"/>
      <c r="J20" s="67" t="s">
        <v>27</v>
      </c>
      <c r="K20" s="11">
        <f>VLOOKUP(J20,D_SMG,2,FALSE)</f>
        <v>0</v>
      </c>
      <c r="L20" s="11">
        <f>VLOOKUP(J20,D_SMG,3,FALSE)</f>
        <v>0</v>
      </c>
      <c r="M20" s="11">
        <f>IF(AND(L20&gt;1,M18=3),1,IF(AND(L20&gt;2,M18=1),1,0))</f>
        <v>0</v>
      </c>
      <c r="N20" s="31"/>
      <c r="O20" s="32"/>
      <c r="P20" s="32"/>
      <c r="Q20" s="32"/>
      <c r="R20" s="32"/>
      <c r="S20" s="32"/>
      <c r="T20" s="32"/>
      <c r="U20" s="32"/>
      <c r="V20" s="32"/>
      <c r="W20" s="32"/>
      <c r="X20" s="32"/>
      <c r="Y20" s="32"/>
      <c r="Z20" s="32"/>
      <c r="AA20" s="32"/>
      <c r="AB20" s="32"/>
      <c r="AC20" s="32"/>
      <c r="AD20" s="32"/>
    </row>
    <row r="21" spans="1:30" x14ac:dyDescent="0.25">
      <c r="A21" s="86" t="s">
        <v>172</v>
      </c>
      <c r="B21" s="87"/>
      <c r="C21" s="67" t="s">
        <v>28</v>
      </c>
      <c r="D21" s="11">
        <f>VLOOKUP(C21,D_ATG,2,FALSE)</f>
        <v>0</v>
      </c>
      <c r="E21" s="11">
        <f>VLOOKUP(C21,D_ATG,3,FALSE)</f>
        <v>0</v>
      </c>
      <c r="F21" s="11">
        <f>IF(AND(E21&gt;0,OR(F18=2,F18=3)),1,0)</f>
        <v>0</v>
      </c>
      <c r="G21" s="6"/>
      <c r="H21" s="86" t="s">
        <v>172</v>
      </c>
      <c r="I21" s="87"/>
      <c r="J21" s="67" t="s">
        <v>28</v>
      </c>
      <c r="K21" s="11">
        <f>VLOOKUP(J21,D_ATG,2,FALSE)</f>
        <v>0</v>
      </c>
      <c r="L21" s="11">
        <f>VLOOKUP(J21,D_ATG,3,FALSE)</f>
        <v>0</v>
      </c>
      <c r="M21" s="11">
        <f>IF(AND(L21&gt;0,OR(M18=2,M18=3)),1,0)</f>
        <v>0</v>
      </c>
      <c r="N21" s="31"/>
      <c r="O21" s="32"/>
      <c r="P21" s="32"/>
      <c r="Q21" s="32"/>
      <c r="R21" s="32"/>
      <c r="S21" s="32"/>
      <c r="T21" s="32"/>
      <c r="U21" s="32"/>
      <c r="V21" s="32"/>
      <c r="W21" s="32"/>
      <c r="X21" s="32"/>
      <c r="Y21" s="32"/>
      <c r="Z21" s="32"/>
      <c r="AA21" s="32"/>
      <c r="AB21" s="32"/>
      <c r="AC21" s="32"/>
      <c r="AD21" s="32"/>
    </row>
    <row r="22" spans="1:30" x14ac:dyDescent="0.25">
      <c r="A22" s="40" t="s">
        <v>37</v>
      </c>
      <c r="B22" s="68" t="s">
        <v>30</v>
      </c>
      <c r="C22" s="67" t="s">
        <v>30</v>
      </c>
      <c r="D22" s="11">
        <f>IF(ISNA(VLOOKUP(LEFT(B22,1)&amp;"."&amp;C22,D_Transport,2,FALSE)),0,VLOOKUP(LEFT(B22,1)&amp;"."&amp;C22,D_Transport,2,FALSE))</f>
        <v>0</v>
      </c>
      <c r="E22" s="11">
        <f>IF(ISNA(VLOOKUP(LEFT(B22,1)&amp;"."&amp;C22,D_Transport,3,FALSE)),0,VLOOKUP(LEFT(B22,1)&amp;"."&amp;C22,D_Transport,3,FALSE))</f>
        <v>0</v>
      </c>
      <c r="F22" s="6"/>
      <c r="G22" s="6"/>
      <c r="H22" s="47" t="s">
        <v>37</v>
      </c>
      <c r="I22" s="68" t="s">
        <v>30</v>
      </c>
      <c r="J22" s="67" t="s">
        <v>30</v>
      </c>
      <c r="K22" s="11">
        <f>IF(ISNA(VLOOKUP(LEFT(I22,1)&amp;"."&amp;J22,D_Transport,2,FALSE)),0,VLOOKUP(LEFT(I22,1)&amp;"."&amp;J22,D_Transport,2,FALSE))</f>
        <v>0</v>
      </c>
      <c r="L22" s="11">
        <f>IF(ISNA(VLOOKUP(LEFT(I22,1)&amp;"."&amp;J22,D_Transport,3,FALSE)),0,VLOOKUP(LEFT(I22,1)&amp;"."&amp;J22,D_Transport,3,FALSE))</f>
        <v>0</v>
      </c>
      <c r="M22" s="6"/>
      <c r="N22" s="31"/>
      <c r="O22" s="32"/>
      <c r="P22" s="32"/>
      <c r="Q22" s="32"/>
      <c r="R22" s="32"/>
      <c r="S22" s="32"/>
      <c r="T22" s="32"/>
      <c r="U22" s="32"/>
      <c r="V22" s="32"/>
      <c r="W22" s="32"/>
      <c r="X22" s="32"/>
      <c r="Y22" s="32"/>
      <c r="Z22" s="32"/>
      <c r="AA22" s="32"/>
      <c r="AB22" s="32"/>
      <c r="AC22" s="32"/>
      <c r="AD22" s="32"/>
    </row>
    <row r="23" spans="1:30" x14ac:dyDescent="0.25">
      <c r="A23" s="91" t="str">
        <f>IF(E19&gt;E18,"Too many Automatic Rifles",IF(E20&gt;E18,"Too many SMG",IF((E19+E20)&gt;E18,"Too many Automatic Rifles / SMG's altogether",IF(E21&gt;E18,"Too many Anti-Tank Grenades",IF(E22-E18&gt;0,"Cannot select transport if no Squad selected","")))))</f>
        <v/>
      </c>
      <c r="B23" s="92"/>
      <c r="C23" s="93"/>
      <c r="D23" s="12">
        <f>SUM(D18:D22)</f>
        <v>0</v>
      </c>
      <c r="H23" s="91" t="str">
        <f>IF(L19&gt;L18,"Too many Automatic Rifles",IF(L20&gt;L18,"Too many SMG",IF((L19+L20)&gt;L18,"Too many Automatic Rifles / SMG's altogether",IF(L21&gt;L18,"Too many Anti-Tank Grenades",IF(L22-L18&gt;0,"Cannot select transport if no Squad selected","")))))</f>
        <v/>
      </c>
      <c r="I23" s="92"/>
      <c r="J23" s="93"/>
      <c r="K23" s="12">
        <f>SUM(K18:K21)</f>
        <v>0</v>
      </c>
      <c r="M23" s="31"/>
      <c r="N23" s="31"/>
      <c r="O23" s="32"/>
      <c r="P23" s="32"/>
      <c r="Q23" s="32"/>
      <c r="R23" s="32"/>
      <c r="S23" s="32"/>
      <c r="T23" s="32"/>
      <c r="U23" s="32"/>
      <c r="V23" s="32"/>
      <c r="W23" s="32"/>
      <c r="X23" s="32"/>
      <c r="Y23" s="32"/>
      <c r="Z23" s="32"/>
      <c r="AA23" s="32"/>
      <c r="AB23" s="32"/>
      <c r="AC23" s="32"/>
      <c r="AD23" s="32"/>
    </row>
    <row r="24" spans="1:30" ht="5.0999999999999996" customHeight="1" x14ac:dyDescent="0.25">
      <c r="A24" s="7"/>
      <c r="B24" s="7"/>
      <c r="C24" s="5"/>
      <c r="D24" s="6"/>
      <c r="H24" s="7"/>
      <c r="I24" s="7"/>
      <c r="J24" s="5"/>
      <c r="K24" s="6"/>
      <c r="M24" s="31"/>
      <c r="N24" s="31"/>
      <c r="O24" s="32"/>
      <c r="P24" s="32"/>
      <c r="Q24" s="32"/>
      <c r="R24" s="32"/>
      <c r="S24" s="32"/>
      <c r="T24" s="32"/>
      <c r="U24" s="32"/>
      <c r="V24" s="32"/>
      <c r="W24" s="32"/>
      <c r="X24" s="32"/>
      <c r="Y24" s="32"/>
      <c r="Z24" s="32"/>
      <c r="AA24" s="32"/>
      <c r="AB24" s="32"/>
      <c r="AC24" s="32"/>
      <c r="AD24" s="32"/>
    </row>
    <row r="25" spans="1:30" x14ac:dyDescent="0.25">
      <c r="A25" s="14" t="s">
        <v>38</v>
      </c>
      <c r="B25" s="68" t="s">
        <v>30</v>
      </c>
      <c r="C25" s="67" t="s">
        <v>30</v>
      </c>
      <c r="D25" s="11">
        <f>IF(ISNA(VLOOKUP(LEFT(B25,1)&amp;"."&amp;C25,D_Men,2,FALSE)),0,VLOOKUP(LEFT(B25,1)&amp;"."&amp;C25,D_Men,2,FALSE))</f>
        <v>0</v>
      </c>
      <c r="E25" s="11">
        <f>IF(ISNA(VLOOKUP(LEFT(B25,1)&amp;"."&amp;C25,D_Men,3,FALSE)),0,VLOOKUP(LEFT(B25,1)&amp;"."&amp;C25,D_Men,3,FALSE))</f>
        <v>0</v>
      </c>
      <c r="F25" s="11">
        <f>VLOOKUP(B25,'Data Sheet'!$B$1:$C$9,2,FALSE)</f>
        <v>0</v>
      </c>
      <c r="G25" s="6"/>
      <c r="H25" s="14" t="s">
        <v>38</v>
      </c>
      <c r="I25" s="69" t="s">
        <v>30</v>
      </c>
      <c r="J25" s="67" t="s">
        <v>30</v>
      </c>
      <c r="K25" s="11">
        <f>IF(ISNA(VLOOKUP(LEFT(I25,1)&amp;"."&amp;J25,D_Men,2,FALSE)),0,VLOOKUP(LEFT(I25,1)&amp;"."&amp;J25,D_Men,2,FALSE))</f>
        <v>0</v>
      </c>
      <c r="L25" s="11">
        <f>IF(ISNA(VLOOKUP(LEFT(I25,1)&amp;"."&amp;J25,D_Men,3,FALSE)),0,VLOOKUP(LEFT(I25,1)&amp;"."&amp;J25,D_Men,3,FALSE))</f>
        <v>0</v>
      </c>
      <c r="M25" s="11">
        <f>VLOOKUP(I25,'Data Sheet'!$B$1:$C$9,2,FALSE)</f>
        <v>0</v>
      </c>
      <c r="N25" s="31"/>
      <c r="O25" s="32"/>
      <c r="P25" s="32"/>
      <c r="Q25" s="32"/>
      <c r="R25" s="32"/>
      <c r="S25" s="32"/>
      <c r="T25" s="32"/>
      <c r="U25" s="32"/>
      <c r="V25" s="32"/>
      <c r="W25" s="32"/>
      <c r="X25" s="32"/>
      <c r="Y25" s="32"/>
      <c r="Z25" s="32"/>
      <c r="AA25" s="32"/>
      <c r="AB25" s="32"/>
      <c r="AC25" s="32"/>
      <c r="AD25" s="32"/>
    </row>
    <row r="26" spans="1:30" x14ac:dyDescent="0.25">
      <c r="A26" s="86" t="str">
        <f>IF(AND(E26&gt;1,F25=3),"Max 1 Automatic Rifle for Inexperienced squads",IF(AND(E26&gt;1,F25=1),"Max 1 Automatic Rifles for Regular squads","Optional Automatic Rifles"))</f>
        <v>Optional Automatic Rifles</v>
      </c>
      <c r="B26" s="87"/>
      <c r="C26" s="67" t="s">
        <v>217</v>
      </c>
      <c r="D26" s="11">
        <f>VLOOKUP(C26,D_AutoR,2,FALSE)</f>
        <v>0</v>
      </c>
      <c r="E26" s="11">
        <f>VLOOKUP(C26,D_AutoR,3,FALSE)</f>
        <v>0</v>
      </c>
      <c r="F26" s="11">
        <f>IF(AND(E26&gt;1,F25=3),1,IF(AND(E26&gt;1,F25=1),1,0))</f>
        <v>0</v>
      </c>
      <c r="G26" s="6"/>
      <c r="H26" s="86" t="str">
        <f>IF(AND(L26&gt;1,M25=3),"Max 1 Automatic Rifle for Inexperienced squads",IF(AND(L26&gt;1,M25=1),"Max 1 Automatic Rifles for Regular squads","Optional Automatic Rifles"))</f>
        <v>Optional Automatic Rifles</v>
      </c>
      <c r="I26" s="87"/>
      <c r="J26" s="67" t="s">
        <v>217</v>
      </c>
      <c r="K26" s="11">
        <f>VLOOKUP(J26,D_AutoR,2,FALSE)</f>
        <v>0</v>
      </c>
      <c r="L26" s="11">
        <f>VLOOKUP(J26,D_AutoR,3,FALSE)</f>
        <v>0</v>
      </c>
      <c r="M26" s="11">
        <f>IF(AND(L26&gt;1,M25=3),1,IF(AND(L26&gt;1,M25=1),1,0))</f>
        <v>0</v>
      </c>
      <c r="N26" s="31"/>
      <c r="O26" s="32"/>
      <c r="P26" s="32"/>
      <c r="Q26" s="32"/>
      <c r="R26" s="32"/>
      <c r="S26" s="32"/>
      <c r="T26" s="32"/>
      <c r="U26" s="32"/>
      <c r="V26" s="32"/>
      <c r="W26" s="32"/>
      <c r="X26" s="32"/>
      <c r="Y26" s="32"/>
      <c r="Z26" s="32"/>
      <c r="AA26" s="32"/>
      <c r="AB26" s="32"/>
      <c r="AC26" s="32"/>
      <c r="AD26" s="32"/>
    </row>
    <row r="27" spans="1:30" x14ac:dyDescent="0.25">
      <c r="A27" s="86" t="str">
        <f>IF(AND(E27&gt;1,F25=3),"Max 1 SMG for Inexperienced squads",IF(AND(E27&gt;2,F25=1),"Max 2 SMG for Regular squads","Optional SMG"))</f>
        <v>Optional SMG</v>
      </c>
      <c r="B27" s="87"/>
      <c r="C27" s="67" t="s">
        <v>27</v>
      </c>
      <c r="D27" s="11">
        <f>VLOOKUP(C27,D_SMG,2,FALSE)</f>
        <v>0</v>
      </c>
      <c r="E27" s="11">
        <f>VLOOKUP(C27,D_SMG,3,FALSE)</f>
        <v>0</v>
      </c>
      <c r="F27" s="11">
        <f>IF(AND(E27&gt;1,F25=3),1,IF(AND(E27&gt;2,F25=1),1,0))</f>
        <v>0</v>
      </c>
      <c r="G27" s="6"/>
      <c r="H27" s="86" t="str">
        <f>IF(AND(L27&gt;1,M25=3),"Max 1 SMG for Inexperienced squads",IF(AND(L27&gt;2,M25=1),"Max 2 SMG for Regular squads","Optional SMG"))</f>
        <v>Optional SMG</v>
      </c>
      <c r="I27" s="87"/>
      <c r="J27" s="67" t="s">
        <v>27</v>
      </c>
      <c r="K27" s="11">
        <f>VLOOKUP(J27,D_SMG,2,FALSE)</f>
        <v>0</v>
      </c>
      <c r="L27" s="11">
        <f>VLOOKUP(J27,D_SMG,3,FALSE)</f>
        <v>0</v>
      </c>
      <c r="M27" s="11">
        <f>IF(AND(L27&gt;1,M25=3),1,IF(AND(L27&gt;2,M25=1),1,0))</f>
        <v>0</v>
      </c>
      <c r="N27" s="31"/>
      <c r="O27" s="32"/>
      <c r="P27" s="32"/>
      <c r="Q27" s="32"/>
      <c r="R27" s="32"/>
      <c r="S27" s="32"/>
      <c r="T27" s="32"/>
      <c r="U27" s="32"/>
      <c r="V27" s="32"/>
      <c r="W27" s="32"/>
      <c r="X27" s="32"/>
      <c r="Y27" s="32"/>
      <c r="Z27" s="32"/>
      <c r="AA27" s="32"/>
      <c r="AB27" s="32"/>
      <c r="AC27" s="32"/>
      <c r="AD27" s="32"/>
    </row>
    <row r="28" spans="1:30" x14ac:dyDescent="0.25">
      <c r="A28" s="86" t="s">
        <v>172</v>
      </c>
      <c r="B28" s="87"/>
      <c r="C28" s="67" t="s">
        <v>28</v>
      </c>
      <c r="D28" s="11">
        <f>VLOOKUP(C28,D_ATG,2,FALSE)</f>
        <v>0</v>
      </c>
      <c r="E28" s="11">
        <f>VLOOKUP(C28,D_ATG,3,FALSE)</f>
        <v>0</v>
      </c>
      <c r="F28" s="11">
        <f>IF(AND(E28&gt;0,OR(F25=2,F25=3)),1,0)</f>
        <v>0</v>
      </c>
      <c r="G28" s="6"/>
      <c r="H28" s="86" t="s">
        <v>172</v>
      </c>
      <c r="I28" s="87"/>
      <c r="J28" s="67" t="s">
        <v>28</v>
      </c>
      <c r="K28" s="11">
        <f>VLOOKUP(J28,D_ATG,2,FALSE)</f>
        <v>0</v>
      </c>
      <c r="L28" s="11">
        <f>VLOOKUP(J28,D_ATG,3,FALSE)</f>
        <v>0</v>
      </c>
      <c r="M28" s="11">
        <f>IF(AND(L28&gt;0,OR(M25=2,M25=3)),1,0)</f>
        <v>0</v>
      </c>
      <c r="N28" s="31"/>
      <c r="O28" s="32"/>
      <c r="P28" s="32"/>
      <c r="Q28" s="32"/>
      <c r="R28" s="32"/>
      <c r="S28" s="32"/>
      <c r="T28" s="32"/>
      <c r="U28" s="32"/>
      <c r="V28" s="32"/>
      <c r="W28" s="32"/>
      <c r="X28" s="32"/>
      <c r="Y28" s="32"/>
      <c r="Z28" s="32"/>
      <c r="AA28" s="32"/>
      <c r="AB28" s="32"/>
      <c r="AC28" s="32"/>
      <c r="AD28" s="32"/>
    </row>
    <row r="29" spans="1:30" x14ac:dyDescent="0.25">
      <c r="A29" s="40" t="s">
        <v>37</v>
      </c>
      <c r="B29" s="68" t="s">
        <v>30</v>
      </c>
      <c r="C29" s="67" t="s">
        <v>30</v>
      </c>
      <c r="D29" s="11">
        <f>IF(ISNA(VLOOKUP(LEFT(B29,1)&amp;"."&amp;C29,D_Transport,2,FALSE)),0,VLOOKUP(LEFT(B29,1)&amp;"."&amp;C29,D_Transport,2,FALSE))</f>
        <v>0</v>
      </c>
      <c r="E29" s="11">
        <f>IF(ISNA(VLOOKUP(LEFT(B29,1)&amp;"."&amp;C29,D_Transport,3,FALSE)),0,VLOOKUP(LEFT(B29,1)&amp;"."&amp;C29,D_Transport,3,FALSE))</f>
        <v>0</v>
      </c>
      <c r="F29" s="6"/>
      <c r="G29" s="6"/>
      <c r="H29" s="55" t="s">
        <v>37</v>
      </c>
      <c r="I29" s="68" t="s">
        <v>30</v>
      </c>
      <c r="J29" s="67" t="s">
        <v>30</v>
      </c>
      <c r="K29" s="11">
        <f>IF(ISNA(VLOOKUP(LEFT(I29,1)&amp;"."&amp;J29,D_Transport,2,FALSE)),0,VLOOKUP(LEFT(I29,1)&amp;"."&amp;J29,D_Transport,2,FALSE))</f>
        <v>0</v>
      </c>
      <c r="L29" s="11">
        <f>IF(ISNA(VLOOKUP(LEFT(I29,1)&amp;"."&amp;J29,D_Transport,3,FALSE)),0,VLOOKUP(LEFT(I29,1)&amp;"."&amp;J29,D_Transport,3,FALSE))</f>
        <v>0</v>
      </c>
      <c r="M29" s="6"/>
      <c r="N29" s="31"/>
      <c r="O29" s="32"/>
      <c r="P29" s="32"/>
      <c r="Q29" s="32"/>
      <c r="R29" s="32"/>
      <c r="S29" s="32"/>
      <c r="T29" s="32"/>
      <c r="U29" s="32"/>
      <c r="V29" s="32"/>
      <c r="W29" s="32"/>
      <c r="X29" s="32"/>
      <c r="Y29" s="32"/>
      <c r="Z29" s="32"/>
      <c r="AA29" s="32"/>
      <c r="AB29" s="32"/>
      <c r="AC29" s="32"/>
      <c r="AD29" s="32"/>
    </row>
    <row r="30" spans="1:30" ht="15" customHeight="1" x14ac:dyDescent="0.25">
      <c r="A30" s="91" t="str">
        <f>IF(E26&gt;E25,"Too many Automatic Rifles",IF(E27&gt;E25,"Too many SMG",IF((E26+E27)&gt;E25,"Too many Automatic Rifles / SMG's altogether",IF(E28&gt;E25,"Too many Anti-Tank Grenades",IF(E29-E25&gt;0,"Cannot select transport if no Squad selected","")))))</f>
        <v/>
      </c>
      <c r="B30" s="92"/>
      <c r="C30" s="93"/>
      <c r="D30" s="12">
        <f>SUM(D25:D29)</f>
        <v>0</v>
      </c>
      <c r="H30" s="91" t="str">
        <f>IF(L26&gt;L25,"Too many Automatic Rifles",IF(L27&gt;L25,"Too many SMG",IF((L26+L27)&gt;L25,"Too many Automatic Rifles / SMG's altogether",IF(L28&gt;L25,"Too many Anti-Tank Grenades",IF(L29-L25&gt;0,"Cannot select transport if no Squad selected","")))))</f>
        <v/>
      </c>
      <c r="I30" s="92"/>
      <c r="J30" s="93"/>
      <c r="K30" s="12">
        <f>SUM(K25:K29)</f>
        <v>0</v>
      </c>
      <c r="M30" s="31"/>
      <c r="N30" s="31"/>
      <c r="O30" s="32"/>
      <c r="P30" s="32"/>
      <c r="Q30" s="32"/>
      <c r="R30" s="32"/>
      <c r="S30" s="32"/>
      <c r="T30" s="32"/>
      <c r="U30" s="32"/>
      <c r="V30" s="32"/>
      <c r="W30" s="32"/>
      <c r="X30" s="32"/>
      <c r="Y30" s="32"/>
      <c r="Z30" s="32"/>
      <c r="AA30" s="32"/>
      <c r="AB30" s="32"/>
      <c r="AC30" s="32"/>
      <c r="AD30" s="32"/>
    </row>
    <row r="31" spans="1:30" ht="5.0999999999999996" customHeight="1" x14ac:dyDescent="0.25">
      <c r="A31" s="91"/>
      <c r="B31" s="92"/>
      <c r="C31" s="93"/>
      <c r="D31" s="12"/>
      <c r="H31" s="91"/>
      <c r="I31" s="92"/>
      <c r="J31" s="93"/>
      <c r="K31" s="12"/>
      <c r="M31" s="31"/>
      <c r="N31" s="31"/>
      <c r="O31" s="32"/>
      <c r="P31" s="32"/>
      <c r="Q31" s="32"/>
      <c r="R31" s="32"/>
      <c r="S31" s="32"/>
      <c r="T31" s="32"/>
      <c r="U31" s="32"/>
      <c r="V31" s="32"/>
      <c r="W31" s="32"/>
      <c r="X31" s="32"/>
      <c r="Y31" s="32"/>
      <c r="Z31" s="32"/>
      <c r="AA31" s="32"/>
      <c r="AB31" s="32"/>
      <c r="AC31" s="32"/>
      <c r="AD31" s="32"/>
    </row>
    <row r="32" spans="1:30" s="8" customFormat="1" ht="15.75" x14ac:dyDescent="0.25">
      <c r="A32" s="94" t="s">
        <v>95</v>
      </c>
      <c r="B32" s="95"/>
      <c r="C32" s="96"/>
      <c r="D32" s="15">
        <f>D30+D23+D16</f>
        <v>0</v>
      </c>
      <c r="H32" s="94" t="s">
        <v>95</v>
      </c>
      <c r="I32" s="95"/>
      <c r="J32" s="96"/>
      <c r="K32" s="15">
        <f>K30+K23+K16</f>
        <v>0</v>
      </c>
      <c r="M32" s="33"/>
      <c r="N32" s="33"/>
      <c r="O32" s="33"/>
      <c r="P32" s="33"/>
      <c r="Q32" s="33"/>
      <c r="R32" s="33"/>
      <c r="S32" s="33"/>
      <c r="T32" s="33"/>
      <c r="U32" s="33"/>
      <c r="V32" s="33"/>
      <c r="W32" s="33"/>
      <c r="X32" s="33"/>
      <c r="Y32" s="33"/>
      <c r="Z32" s="33"/>
      <c r="AA32" s="33"/>
      <c r="AB32" s="33"/>
      <c r="AC32" s="33"/>
      <c r="AD32" s="33"/>
    </row>
    <row r="33" spans="1:30" ht="5.0999999999999996" customHeight="1" x14ac:dyDescent="0.25">
      <c r="A33" s="24"/>
      <c r="B33" s="36"/>
      <c r="C33" s="25"/>
      <c r="D33" s="12"/>
      <c r="H33" s="24"/>
      <c r="I33" s="37"/>
      <c r="J33" s="25"/>
      <c r="K33" s="12"/>
      <c r="M33" s="31"/>
      <c r="N33" s="31"/>
      <c r="O33" s="32"/>
      <c r="P33" s="32"/>
      <c r="Q33" s="32"/>
      <c r="R33" s="32"/>
      <c r="S33" s="32"/>
      <c r="T33" s="32"/>
      <c r="U33" s="32"/>
      <c r="V33" s="32"/>
      <c r="W33" s="32"/>
      <c r="X33" s="32"/>
      <c r="Y33" s="32"/>
      <c r="Z33" s="32"/>
      <c r="AA33" s="32"/>
      <c r="AB33" s="32"/>
      <c r="AC33" s="32"/>
      <c r="AD33" s="32"/>
    </row>
    <row r="34" spans="1:30" s="8" customFormat="1" ht="17.25" customHeight="1" x14ac:dyDescent="0.25">
      <c r="A34" s="94" t="s">
        <v>39</v>
      </c>
      <c r="B34" s="95"/>
      <c r="C34" s="96"/>
      <c r="D34" s="15" t="s">
        <v>40</v>
      </c>
      <c r="H34" s="94" t="s">
        <v>39</v>
      </c>
      <c r="I34" s="95"/>
      <c r="J34" s="96"/>
      <c r="K34" s="15" t="s">
        <v>40</v>
      </c>
      <c r="M34" s="31"/>
      <c r="N34" s="31"/>
      <c r="O34" s="31"/>
      <c r="P34" s="33"/>
      <c r="Q34" s="33"/>
      <c r="R34" s="33"/>
      <c r="S34" s="33"/>
      <c r="T34" s="33"/>
      <c r="U34" s="33"/>
      <c r="V34" s="33"/>
      <c r="W34" s="33"/>
      <c r="X34" s="33"/>
      <c r="Y34" s="33"/>
      <c r="Z34" s="33"/>
      <c r="AA34" s="33"/>
      <c r="AB34" s="33"/>
      <c r="AC34" s="33"/>
      <c r="AD34" s="33"/>
    </row>
    <row r="35" spans="1:30" x14ac:dyDescent="0.25">
      <c r="A35" s="14" t="s">
        <v>41</v>
      </c>
      <c r="B35" s="68" t="s">
        <v>30</v>
      </c>
      <c r="C35" s="67" t="s">
        <v>30</v>
      </c>
      <c r="D35" s="11">
        <f>IF(ISNA(VLOOKUP(LEFT(B35,1)&amp;"."&amp;C35,D_Men,2,FALSE)),0,VLOOKUP(LEFT(B35,1)&amp;"."&amp;C35,D_Men,2,FALSE))</f>
        <v>0</v>
      </c>
      <c r="E35" s="11">
        <f>IF(ISNA(VLOOKUP(LEFT(B35,1)&amp;"."&amp;C35,D_Men,3,FALSE)),0,VLOOKUP(LEFT(B35,1)&amp;"."&amp;C35,D_Men,3,FALSE))</f>
        <v>0</v>
      </c>
      <c r="F35" s="11">
        <f>VLOOKUP(B35,'Data Sheet'!$B$1:$C$9,2,FALSE)</f>
        <v>0</v>
      </c>
      <c r="G35" s="6"/>
      <c r="H35" s="14" t="s">
        <v>96</v>
      </c>
      <c r="I35" s="69" t="s">
        <v>30</v>
      </c>
      <c r="J35" s="67" t="s">
        <v>30</v>
      </c>
      <c r="K35" s="11">
        <f>IF(ISNA(VLOOKUP(LEFT(I35,1)&amp;"."&amp;J35,D_Men,2,FALSE)),0,VLOOKUP(LEFT(I35,1)&amp;"."&amp;J35,D_Men,2,FALSE))</f>
        <v>0</v>
      </c>
      <c r="L35" s="11">
        <f>IF(ISNA(VLOOKUP(LEFT(I35,1)&amp;"."&amp;J35,D_Men,3,FALSE)),0,VLOOKUP(LEFT(I35,1)&amp;"."&amp;J35,D_Men,3,FALSE))</f>
        <v>0</v>
      </c>
      <c r="M35" s="11">
        <f>VLOOKUP(I35,'Data Sheet'!$B$1:$C$9,2,FALSE)</f>
        <v>0</v>
      </c>
      <c r="N35" s="31"/>
      <c r="O35" s="32"/>
      <c r="P35" s="32"/>
      <c r="Q35" s="32"/>
      <c r="R35" s="32"/>
      <c r="S35" s="32"/>
      <c r="T35" s="32"/>
      <c r="U35" s="32"/>
      <c r="V35" s="32"/>
      <c r="W35" s="32"/>
      <c r="X35" s="32"/>
      <c r="Y35" s="32"/>
      <c r="Z35" s="32"/>
      <c r="AA35" s="32"/>
      <c r="AB35" s="32"/>
      <c r="AC35" s="32"/>
      <c r="AD35" s="32"/>
    </row>
    <row r="36" spans="1:30" x14ac:dyDescent="0.25">
      <c r="A36" s="86" t="str">
        <f>IF(AND(E36&gt;1,F35=3),"Max 1 Automatic Rifle for Inexperienced squads",IF(AND(E36&gt;1,F35=1),"Max 1 Automatic Rifles for Regular squads","Optional Automatic Rifles"))</f>
        <v>Optional Automatic Rifles</v>
      </c>
      <c r="B36" s="87"/>
      <c r="C36" s="67" t="s">
        <v>217</v>
      </c>
      <c r="D36" s="11">
        <f>VLOOKUP(C36,D_AutoR,2,FALSE)</f>
        <v>0</v>
      </c>
      <c r="E36" s="11">
        <f>VLOOKUP(C36,D_AutoR,3,FALSE)</f>
        <v>0</v>
      </c>
      <c r="F36" s="11">
        <f>IF(AND(E36&gt;1,F35=3),1,IF(AND(E36&gt;1,F35=1),1,0))</f>
        <v>0</v>
      </c>
      <c r="G36" s="6"/>
      <c r="H36" s="86" t="str">
        <f>IF(AND(L36&gt;1,M35=3),"Max 1 Automatic Rifle for Inexperienced squads",IF(AND(L36&gt;1,M35=1),"Max 1 Automatic Rifles for Regular squads","Optional Automatic Rifles"))</f>
        <v>Optional Automatic Rifles</v>
      </c>
      <c r="I36" s="87"/>
      <c r="J36" s="67" t="s">
        <v>217</v>
      </c>
      <c r="K36" s="11">
        <f>VLOOKUP(J36,D_AutoR,2,FALSE)</f>
        <v>0</v>
      </c>
      <c r="L36" s="11">
        <f>VLOOKUP(J36,D_AutoR,3,FALSE)</f>
        <v>0</v>
      </c>
      <c r="M36" s="11">
        <f>IF(AND(L36&gt;1,M35=3),1,IF(AND(L36&gt;1,M35=1),1,0))</f>
        <v>0</v>
      </c>
      <c r="N36" s="31"/>
      <c r="O36" s="32"/>
      <c r="P36" s="32"/>
      <c r="Q36" s="32"/>
      <c r="R36" s="32"/>
      <c r="S36" s="32"/>
      <c r="T36" s="32"/>
      <c r="U36" s="32"/>
      <c r="V36" s="32"/>
      <c r="W36" s="32"/>
      <c r="X36" s="32"/>
      <c r="Y36" s="32"/>
      <c r="Z36" s="32"/>
      <c r="AA36" s="32"/>
      <c r="AB36" s="32"/>
      <c r="AC36" s="32"/>
      <c r="AD36" s="32"/>
    </row>
    <row r="37" spans="1:30" x14ac:dyDescent="0.25">
      <c r="A37" s="86" t="str">
        <f>IF(AND(E37&gt;1,F35=3),"Max 1 SMG for Inexperienced squads",IF(AND(E37&gt;2,F35=1),"Max 2 SMG for Regular squads","Optional SMG"))</f>
        <v>Optional SMG</v>
      </c>
      <c r="B37" s="87"/>
      <c r="C37" s="67" t="s">
        <v>27</v>
      </c>
      <c r="D37" s="11">
        <f>VLOOKUP(C37,D_SMG,2,FALSE)</f>
        <v>0</v>
      </c>
      <c r="E37" s="11">
        <f>VLOOKUP(C37,D_SMG,3,FALSE)</f>
        <v>0</v>
      </c>
      <c r="F37" s="11">
        <f>IF(AND(E37&gt;1,F35=3),1,IF(AND(E37&gt;2,F35=1),1,0))</f>
        <v>0</v>
      </c>
      <c r="G37" s="6"/>
      <c r="H37" s="86" t="str">
        <f>IF(AND(L37&gt;1,M35=3),"Max 1 SMG for Inexperienced squads",IF(AND(L37&gt;2,M35=1),"Max 2 SMG for Regular squads","Optional SMG"))</f>
        <v>Optional SMG</v>
      </c>
      <c r="I37" s="87"/>
      <c r="J37" s="67" t="s">
        <v>27</v>
      </c>
      <c r="K37" s="11">
        <f>VLOOKUP(J37,D_SMG,2,FALSE)</f>
        <v>0</v>
      </c>
      <c r="L37" s="11">
        <f>VLOOKUP(J37,D_SMG,3,FALSE)</f>
        <v>0</v>
      </c>
      <c r="M37" s="11">
        <f>IF(AND(L37&gt;1,M35=3),1,IF(AND(L37&gt;2,M35=1),1,0))</f>
        <v>0</v>
      </c>
      <c r="N37" s="31"/>
      <c r="O37" s="32"/>
      <c r="P37" s="32"/>
      <c r="Q37" s="32"/>
      <c r="R37" s="32"/>
      <c r="S37" s="32"/>
      <c r="T37" s="32"/>
      <c r="U37" s="32"/>
      <c r="V37" s="32"/>
      <c r="W37" s="32"/>
      <c r="X37" s="32"/>
      <c r="Y37" s="32"/>
      <c r="Z37" s="32"/>
      <c r="AA37" s="32"/>
      <c r="AB37" s="32"/>
      <c r="AC37" s="32"/>
      <c r="AD37" s="32"/>
    </row>
    <row r="38" spans="1:30" x14ac:dyDescent="0.25">
      <c r="A38" s="86" t="s">
        <v>172</v>
      </c>
      <c r="B38" s="87"/>
      <c r="C38" s="67" t="s">
        <v>28</v>
      </c>
      <c r="D38" s="11">
        <f>VLOOKUP(C38,D_ATG,2,FALSE)</f>
        <v>0</v>
      </c>
      <c r="E38" s="11">
        <f>VLOOKUP(C38,D_ATG,3,FALSE)</f>
        <v>0</v>
      </c>
      <c r="F38" s="11">
        <f>IF(AND(E38&gt;0,OR(F35=2,F35=3)),1,0)</f>
        <v>0</v>
      </c>
      <c r="G38" s="6"/>
      <c r="H38" s="86" t="s">
        <v>172</v>
      </c>
      <c r="I38" s="87"/>
      <c r="J38" s="67" t="s">
        <v>28</v>
      </c>
      <c r="K38" s="11">
        <f>VLOOKUP(J38,D_ATG,2,FALSE)</f>
        <v>0</v>
      </c>
      <c r="L38" s="11">
        <f>VLOOKUP(J38,D_ATG,3,FALSE)</f>
        <v>0</v>
      </c>
      <c r="M38" s="11">
        <f>IF(AND(L38&gt;0,OR(M35=2,M35=3)),1,0)</f>
        <v>0</v>
      </c>
      <c r="N38" s="31"/>
      <c r="O38" s="32"/>
      <c r="P38" s="32"/>
      <c r="Q38" s="32"/>
      <c r="R38" s="32"/>
      <c r="S38" s="32"/>
      <c r="T38" s="32"/>
      <c r="U38" s="32"/>
      <c r="V38" s="32"/>
      <c r="W38" s="32"/>
      <c r="X38" s="32"/>
      <c r="Y38" s="32"/>
      <c r="Z38" s="32"/>
      <c r="AA38" s="32"/>
      <c r="AB38" s="32"/>
      <c r="AC38" s="32"/>
      <c r="AD38" s="32"/>
    </row>
    <row r="39" spans="1:30" x14ac:dyDescent="0.25">
      <c r="A39" s="40" t="s">
        <v>37</v>
      </c>
      <c r="B39" s="68" t="s">
        <v>30</v>
      </c>
      <c r="C39" s="67" t="s">
        <v>30</v>
      </c>
      <c r="D39" s="11">
        <f>IF(ISNA(VLOOKUP(LEFT(B39,1)&amp;"."&amp;C39,D_Transport,2,FALSE)),0,VLOOKUP(LEFT(B39,1)&amp;"."&amp;C39,D_Transport,2,FALSE))</f>
        <v>0</v>
      </c>
      <c r="E39" s="11">
        <f>IF(ISNA(VLOOKUP(LEFT(B39,1)&amp;"."&amp;C39,D_Transport,3,FALSE)),0,VLOOKUP(LEFT(B39,1)&amp;"."&amp;C39,D_Transport,3,FALSE))</f>
        <v>0</v>
      </c>
      <c r="F39" s="6"/>
      <c r="G39" s="6"/>
      <c r="H39" s="55" t="s">
        <v>37</v>
      </c>
      <c r="I39" s="68" t="s">
        <v>30</v>
      </c>
      <c r="J39" s="67" t="s">
        <v>30</v>
      </c>
      <c r="K39" s="11">
        <f>IF(ISNA(VLOOKUP(LEFT(I39,1)&amp;"."&amp;J39,D_Transport,2,FALSE)),0,VLOOKUP(LEFT(I39,1)&amp;"."&amp;J39,D_Transport,2,FALSE))</f>
        <v>0</v>
      </c>
      <c r="L39" s="11">
        <f>IF(ISNA(VLOOKUP(LEFT(I39,1)&amp;"."&amp;J39,D_Transport,3,FALSE)),0,VLOOKUP(LEFT(I39,1)&amp;"."&amp;J39,D_Transport,3,FALSE))</f>
        <v>0</v>
      </c>
      <c r="M39" s="6"/>
      <c r="N39" s="31"/>
      <c r="O39" s="32"/>
      <c r="P39" s="32"/>
      <c r="Q39" s="32"/>
      <c r="R39" s="32"/>
      <c r="S39" s="32"/>
      <c r="T39" s="32"/>
      <c r="U39" s="32"/>
      <c r="V39" s="32"/>
      <c r="W39" s="32"/>
      <c r="X39" s="32"/>
      <c r="Y39" s="32"/>
      <c r="Z39" s="32"/>
      <c r="AA39" s="32"/>
      <c r="AB39" s="32"/>
      <c r="AC39" s="32"/>
      <c r="AD39" s="32"/>
    </row>
    <row r="40" spans="1:30" ht="15" customHeight="1" x14ac:dyDescent="0.25">
      <c r="A40" s="91" t="str">
        <f>IF(E36&gt;E35,"Too many Automatic Rifles",IF(E37&gt;E35,"Too many SMG",IF((E36+E37)&gt;E35,"Too many Automatic Rifles / SMG's altogether",IF(E38&gt;E35,"Too many Anti-Tank Grenades",IF(E39-E35&gt;0,"Cannot select transport if no Squad selected","")))))</f>
        <v/>
      </c>
      <c r="B40" s="92"/>
      <c r="C40" s="93"/>
      <c r="D40" s="12">
        <f>SUM(D35:D39)</f>
        <v>0</v>
      </c>
      <c r="H40" s="91" t="str">
        <f>IF(L36&gt;L35,"Too many Automatic Rifles",IF(L37&gt;L35,"Too many SMG",IF((L36+L37)&gt;L35,"Too many Automatic Rifles / SMG's altogether",IF(L38&gt;L35,"Too many Anti-Tank Grenades",IF(L39-L35&gt;0,"Cannot select transport if no Squad selected","")))))</f>
        <v/>
      </c>
      <c r="I40" s="92"/>
      <c r="J40" s="93"/>
      <c r="K40" s="12">
        <f>SUM(K35:M39)</f>
        <v>0</v>
      </c>
      <c r="M40" s="31"/>
      <c r="N40" s="31"/>
      <c r="O40" s="32"/>
      <c r="P40" s="32"/>
      <c r="Q40" s="32"/>
      <c r="R40" s="32"/>
      <c r="S40" s="32"/>
      <c r="T40" s="32"/>
      <c r="U40" s="32"/>
      <c r="V40" s="32"/>
      <c r="W40" s="32"/>
      <c r="X40" s="32"/>
      <c r="Y40" s="32"/>
      <c r="Z40" s="32"/>
      <c r="AA40" s="32"/>
      <c r="AB40" s="32"/>
      <c r="AC40" s="32"/>
      <c r="AD40" s="32"/>
    </row>
    <row r="41" spans="1:30" ht="5.0999999999999996" customHeight="1" x14ac:dyDescent="0.25">
      <c r="A41" s="91"/>
      <c r="B41" s="92"/>
      <c r="C41" s="93"/>
      <c r="D41" s="12"/>
      <c r="H41" s="91"/>
      <c r="I41" s="92"/>
      <c r="J41" s="93"/>
      <c r="K41" s="12"/>
      <c r="M41" s="31"/>
      <c r="N41" s="31"/>
      <c r="O41" s="32"/>
      <c r="P41" s="32"/>
      <c r="Q41" s="32"/>
      <c r="R41" s="32"/>
      <c r="S41" s="32"/>
      <c r="T41" s="32"/>
      <c r="U41" s="32"/>
      <c r="V41" s="32"/>
      <c r="W41" s="32"/>
      <c r="X41" s="32"/>
      <c r="Y41" s="32"/>
      <c r="Z41" s="32"/>
      <c r="AA41" s="32"/>
      <c r="AB41" s="32"/>
      <c r="AC41" s="32"/>
      <c r="AD41" s="32"/>
    </row>
    <row r="42" spans="1:30" x14ac:dyDescent="0.25">
      <c r="A42" s="14" t="s">
        <v>41</v>
      </c>
      <c r="B42" s="68" t="s">
        <v>30</v>
      </c>
      <c r="C42" s="67" t="s">
        <v>30</v>
      </c>
      <c r="D42" s="11">
        <f>IF(ISNA(VLOOKUP(LEFT(B42,1)&amp;"."&amp;C42,D_Men,2,FALSE)),0,VLOOKUP(LEFT(B42,1)&amp;"."&amp;C42,D_Men,2,FALSE))</f>
        <v>0</v>
      </c>
      <c r="E42" s="11">
        <f>IF(ISNA(VLOOKUP(LEFT(B42,1)&amp;"."&amp;C42,D_Men,3,FALSE)),0,VLOOKUP(LEFT(B42,1)&amp;"."&amp;C42,D_Men,3,FALSE))</f>
        <v>0</v>
      </c>
      <c r="F42" s="11">
        <f>VLOOKUP(B42,'Data Sheet'!$B$1:$C$9,2,FALSE)</f>
        <v>0</v>
      </c>
      <c r="G42" s="6"/>
      <c r="H42" s="14" t="s">
        <v>97</v>
      </c>
      <c r="I42" s="69" t="s">
        <v>30</v>
      </c>
      <c r="J42" s="67" t="s">
        <v>30</v>
      </c>
      <c r="K42" s="11">
        <f>IF(ISNA(VLOOKUP(LEFT(I42,1)&amp;"."&amp;J42,D_Men,2,FALSE)),0,VLOOKUP(LEFT(I42,1)&amp;"."&amp;J42,D_Men,2,FALSE))</f>
        <v>0</v>
      </c>
      <c r="L42" s="11">
        <f>IF(ISNA(VLOOKUP(LEFT(I42,1)&amp;"."&amp;J42,D_Men,3,FALSE)),0,VLOOKUP(LEFT(I42,1)&amp;"."&amp;J42,D_Men,3,FALSE))</f>
        <v>0</v>
      </c>
      <c r="M42" s="11">
        <f>VLOOKUP(I42,'Data Sheet'!$B$1:$C$9,2,FALSE)</f>
        <v>0</v>
      </c>
      <c r="N42" s="31"/>
      <c r="O42" s="32"/>
      <c r="P42" s="32"/>
      <c r="Q42" s="32"/>
      <c r="R42" s="32"/>
      <c r="S42" s="32"/>
      <c r="T42" s="32"/>
      <c r="U42" s="32"/>
      <c r="V42" s="32"/>
      <c r="W42" s="32"/>
      <c r="X42" s="32"/>
      <c r="Y42" s="32"/>
      <c r="Z42" s="32"/>
      <c r="AA42" s="32"/>
      <c r="AB42" s="32"/>
      <c r="AC42" s="32"/>
      <c r="AD42" s="32"/>
    </row>
    <row r="43" spans="1:30" x14ac:dyDescent="0.25">
      <c r="A43" s="86" t="str">
        <f>IF(AND(E43&gt;1,F42=3),"Max 1 Automatic Rifle for Inexperienced squads",IF(AND(E43&gt;1,F42=1),"Max 1 Automatic Rifles for Regular squads","Optional Automatic Rifles"))</f>
        <v>Optional Automatic Rifles</v>
      </c>
      <c r="B43" s="87"/>
      <c r="C43" s="67" t="s">
        <v>217</v>
      </c>
      <c r="D43" s="11">
        <f>VLOOKUP(C43,D_AutoR,2,FALSE)</f>
        <v>0</v>
      </c>
      <c r="E43" s="11">
        <f>VLOOKUP(C43,D_AutoR,3,FALSE)</f>
        <v>0</v>
      </c>
      <c r="F43" s="11">
        <f>IF(AND(E43&gt;1,F42=3),1,IF(AND(E43&gt;1,F42=1),1,0))</f>
        <v>0</v>
      </c>
      <c r="G43" s="6"/>
      <c r="H43" s="86" t="str">
        <f>IF(AND(L43&gt;1,M42=3),"Max 1 Automatic Rifle for Inexperienced squads",IF(AND(L43&gt;1,M42=1),"Max 1 Automatic Rifles for Regular squads","Optional Automatic Rifles"))</f>
        <v>Optional Automatic Rifles</v>
      </c>
      <c r="I43" s="87"/>
      <c r="J43" s="67" t="s">
        <v>217</v>
      </c>
      <c r="K43" s="11">
        <f>VLOOKUP(J43,D_AutoR,2,FALSE)</f>
        <v>0</v>
      </c>
      <c r="L43" s="11">
        <f>VLOOKUP(J43,D_AutoR,3,FALSE)</f>
        <v>0</v>
      </c>
      <c r="M43" s="11">
        <f>IF(AND(L43&gt;1,M42=3),1,IF(AND(L43&gt;1,M42=1),1,0))</f>
        <v>0</v>
      </c>
      <c r="N43" s="31"/>
      <c r="O43" s="32"/>
      <c r="P43" s="32"/>
      <c r="Q43" s="32"/>
      <c r="R43" s="32"/>
      <c r="S43" s="32"/>
      <c r="T43" s="32"/>
      <c r="U43" s="32"/>
      <c r="V43" s="32"/>
      <c r="W43" s="32"/>
      <c r="X43" s="32"/>
      <c r="Y43" s="32"/>
      <c r="Z43" s="32"/>
      <c r="AA43" s="32"/>
      <c r="AB43" s="32"/>
      <c r="AC43" s="32"/>
      <c r="AD43" s="32"/>
    </row>
    <row r="44" spans="1:30" x14ac:dyDescent="0.25">
      <c r="A44" s="86" t="str">
        <f>IF(AND(E44&gt;1,F42=3),"Max 1 SMG for Inexperienced squads",IF(AND(E44&gt;2,F42=1),"Max 2 SMG for Regular squads","Optional SMG"))</f>
        <v>Optional SMG</v>
      </c>
      <c r="B44" s="87"/>
      <c r="C44" s="67" t="s">
        <v>27</v>
      </c>
      <c r="D44" s="11">
        <f>VLOOKUP(C44,D_SMG,2,FALSE)</f>
        <v>0</v>
      </c>
      <c r="E44" s="11">
        <f>VLOOKUP(C44,D_SMG,3,FALSE)</f>
        <v>0</v>
      </c>
      <c r="F44" s="11">
        <f>IF(AND(E44&gt;1,F42=3),1,IF(AND(E44&gt;2,F42=1),1,0))</f>
        <v>0</v>
      </c>
      <c r="G44" s="6"/>
      <c r="H44" s="86" t="str">
        <f>IF(AND(L44&gt;1,M42=3),"Max 1 SMG for Inexperienced squads",IF(AND(L44&gt;2,M42=1),"Max 2 SMG for Regular squads","Optional SMG"))</f>
        <v>Optional SMG</v>
      </c>
      <c r="I44" s="87"/>
      <c r="J44" s="67" t="s">
        <v>27</v>
      </c>
      <c r="K44" s="11">
        <f>VLOOKUP(J44,D_SMG,2,FALSE)</f>
        <v>0</v>
      </c>
      <c r="L44" s="11">
        <f>VLOOKUP(J44,D_SMG,3,FALSE)</f>
        <v>0</v>
      </c>
      <c r="M44" s="11">
        <f>IF(AND(L44&gt;1,M42=3),1,IF(AND(L44&gt;2,M42=1),1,0))</f>
        <v>0</v>
      </c>
      <c r="N44" s="31"/>
      <c r="O44" s="32"/>
      <c r="P44" s="32"/>
      <c r="Q44" s="32"/>
      <c r="R44" s="32"/>
      <c r="S44" s="32"/>
      <c r="T44" s="32"/>
      <c r="U44" s="32"/>
      <c r="V44" s="32"/>
      <c r="W44" s="32"/>
      <c r="X44" s="32"/>
      <c r="Y44" s="32"/>
      <c r="Z44" s="32"/>
      <c r="AA44" s="32"/>
      <c r="AB44" s="32"/>
      <c r="AC44" s="32"/>
      <c r="AD44" s="32"/>
    </row>
    <row r="45" spans="1:30" x14ac:dyDescent="0.25">
      <c r="A45" s="86" t="s">
        <v>172</v>
      </c>
      <c r="B45" s="87"/>
      <c r="C45" s="67" t="s">
        <v>28</v>
      </c>
      <c r="D45" s="11">
        <f>VLOOKUP(C45,D_ATG,2,FALSE)</f>
        <v>0</v>
      </c>
      <c r="E45" s="11">
        <f>VLOOKUP(C45,D_ATG,3,FALSE)</f>
        <v>0</v>
      </c>
      <c r="F45" s="11">
        <f>IF(AND(E45&gt;0,OR(F42=2,F42=3)),1,0)</f>
        <v>0</v>
      </c>
      <c r="G45" s="6"/>
      <c r="H45" s="86" t="s">
        <v>172</v>
      </c>
      <c r="I45" s="87"/>
      <c r="J45" s="67" t="s">
        <v>28</v>
      </c>
      <c r="K45" s="11">
        <f>VLOOKUP(J45,D_ATG,2,FALSE)</f>
        <v>0</v>
      </c>
      <c r="L45" s="11">
        <f>VLOOKUP(J45,D_ATG,3,FALSE)</f>
        <v>0</v>
      </c>
      <c r="M45" s="11">
        <f>IF(AND(L45&gt;0,OR(M42=2,M42=3)),1,0)</f>
        <v>0</v>
      </c>
      <c r="N45" s="31"/>
      <c r="O45" s="32"/>
      <c r="P45" s="32"/>
      <c r="Q45" s="32"/>
      <c r="R45" s="32"/>
      <c r="S45" s="32"/>
      <c r="T45" s="32"/>
      <c r="U45" s="32"/>
      <c r="V45" s="32"/>
      <c r="W45" s="32"/>
      <c r="X45" s="32"/>
      <c r="Y45" s="32"/>
      <c r="Z45" s="32"/>
      <c r="AA45" s="32"/>
      <c r="AB45" s="32"/>
      <c r="AC45" s="32"/>
      <c r="AD45" s="32"/>
    </row>
    <row r="46" spans="1:30" x14ac:dyDescent="0.25">
      <c r="A46" s="40" t="s">
        <v>37</v>
      </c>
      <c r="B46" s="68" t="s">
        <v>30</v>
      </c>
      <c r="C46" s="67" t="s">
        <v>30</v>
      </c>
      <c r="D46" s="11">
        <f>IF(ISNA(VLOOKUP(LEFT(B46,1)&amp;"."&amp;C46,D_Transport,2,FALSE)),0,VLOOKUP(LEFT(B46,1)&amp;"."&amp;C46,D_Transport,2,FALSE))</f>
        <v>0</v>
      </c>
      <c r="E46" s="11">
        <f>IF(ISNA(VLOOKUP(LEFT(B46,1)&amp;"."&amp;C46,D_Transport,3,FALSE)),0,VLOOKUP(LEFT(B46,1)&amp;"."&amp;C46,D_Transport,3,FALSE))</f>
        <v>0</v>
      </c>
      <c r="F46" s="6"/>
      <c r="G46" s="6"/>
      <c r="H46" s="55" t="s">
        <v>37</v>
      </c>
      <c r="I46" s="68" t="s">
        <v>30</v>
      </c>
      <c r="J46" s="67" t="s">
        <v>30</v>
      </c>
      <c r="K46" s="11">
        <f>IF(ISNA(VLOOKUP(LEFT(I46,1)&amp;"."&amp;J46,D_Transport,2,FALSE)),0,VLOOKUP(LEFT(I46,1)&amp;"."&amp;J46,D_Transport,2,FALSE))</f>
        <v>0</v>
      </c>
      <c r="L46" s="11">
        <f>IF(ISNA(VLOOKUP(LEFT(I46,1)&amp;"."&amp;J46,D_Transport,3,FALSE)),0,VLOOKUP(LEFT(I46,1)&amp;"."&amp;J46,D_Transport,3,FALSE))</f>
        <v>0</v>
      </c>
      <c r="M46" s="6"/>
      <c r="N46" s="31"/>
      <c r="O46" s="32"/>
      <c r="P46" s="32"/>
      <c r="Q46" s="32"/>
      <c r="R46" s="32"/>
      <c r="S46" s="32"/>
      <c r="T46" s="32"/>
      <c r="U46" s="32"/>
      <c r="V46" s="32"/>
      <c r="W46" s="32"/>
      <c r="X46" s="32"/>
      <c r="Y46" s="32"/>
      <c r="Z46" s="32"/>
      <c r="AA46" s="32"/>
      <c r="AB46" s="32"/>
      <c r="AC46" s="32"/>
      <c r="AD46" s="32"/>
    </row>
    <row r="47" spans="1:30" ht="15" customHeight="1" x14ac:dyDescent="0.25">
      <c r="A47" s="91" t="str">
        <f>IF(E43&gt;E42,"Too many Automatic Rifles",IF(E44&gt;E42,"Too many SMG",IF((E43+E44)&gt;E42,"Too many Automatic Rifles / SMG's altogether",IF(E45&gt;E42,"Too many Anti-Tank Grenades",IF(E46-E42&gt;0,"Cannot select transport if no Squad selected","")))))</f>
        <v/>
      </c>
      <c r="B47" s="92"/>
      <c r="C47" s="93"/>
      <c r="D47" s="12">
        <f>SUM(D42:D46)</f>
        <v>0</v>
      </c>
      <c r="H47" s="91" t="str">
        <f>IF(L43&gt;L42,"Too many Automatic Rifles",IF(L44&gt;L42,"Too many SMG",IF((L43+L44)&gt;L42,"Too many Automatic Rifles / SMG's altogether",IF(L45&gt;L42,"Too many Anti-Tank Grenades",IF(L46-L42&gt;0,"Cannot select transport if no Squad selected","")))))</f>
        <v/>
      </c>
      <c r="I47" s="92"/>
      <c r="J47" s="93"/>
      <c r="K47" s="12">
        <f>SUM(K42:K46)</f>
        <v>0</v>
      </c>
      <c r="M47" s="31"/>
      <c r="N47" s="31"/>
      <c r="O47" s="32"/>
      <c r="P47" s="32"/>
      <c r="Q47" s="32"/>
      <c r="R47" s="32"/>
      <c r="S47" s="32"/>
      <c r="T47" s="32"/>
      <c r="U47" s="32"/>
      <c r="V47" s="32"/>
      <c r="W47" s="32"/>
      <c r="X47" s="32"/>
      <c r="Y47" s="32"/>
      <c r="Z47" s="32"/>
      <c r="AA47" s="32"/>
      <c r="AB47" s="32"/>
      <c r="AC47" s="32"/>
      <c r="AD47" s="32"/>
    </row>
    <row r="48" spans="1:30" ht="5.0999999999999996" customHeight="1" x14ac:dyDescent="0.25">
      <c r="A48" s="91"/>
      <c r="B48" s="92"/>
      <c r="C48" s="93"/>
      <c r="D48" s="12"/>
      <c r="H48" s="91"/>
      <c r="I48" s="92"/>
      <c r="J48" s="93"/>
      <c r="K48" s="12"/>
      <c r="M48" s="31"/>
      <c r="N48" s="31"/>
      <c r="O48" s="32"/>
      <c r="P48" s="32"/>
      <c r="Q48" s="32"/>
      <c r="R48" s="32"/>
      <c r="S48" s="32"/>
      <c r="T48" s="32"/>
      <c r="U48" s="32"/>
      <c r="V48" s="32"/>
      <c r="W48" s="32"/>
      <c r="X48" s="32"/>
      <c r="Y48" s="32"/>
      <c r="Z48" s="32"/>
      <c r="AA48" s="32"/>
      <c r="AB48" s="32"/>
      <c r="AC48" s="32"/>
      <c r="AD48" s="32"/>
    </row>
    <row r="49" spans="1:30" x14ac:dyDescent="0.25">
      <c r="A49" s="14" t="s">
        <v>134</v>
      </c>
      <c r="B49" s="68" t="s">
        <v>30</v>
      </c>
      <c r="C49" s="67" t="s">
        <v>30</v>
      </c>
      <c r="D49" s="11">
        <f>IF(ISNA(VLOOKUP(LEFT(B49,1)&amp;"."&amp;C49,D_Men,2,FALSE)),0,VLOOKUP(LEFT(B49,1)&amp;"."&amp;C49,D_Men,2,FALSE))</f>
        <v>0</v>
      </c>
      <c r="E49" s="11">
        <f>IF(ISNA(VLOOKUP(LEFT(B49,1)&amp;"."&amp;C49,D_Men,3,FALSE)),0,VLOOKUP(LEFT(B49,1)&amp;"."&amp;C49,D_Men,3,FALSE))</f>
        <v>0</v>
      </c>
      <c r="F49" s="11">
        <f>VLOOKUP(B49,'Data Sheet'!$B$1:$C$9,2,FALSE)</f>
        <v>0</v>
      </c>
      <c r="G49" s="6"/>
      <c r="H49" s="14" t="s">
        <v>98</v>
      </c>
      <c r="I49" s="69" t="s">
        <v>30</v>
      </c>
      <c r="J49" s="67" t="s">
        <v>30</v>
      </c>
      <c r="K49" s="11">
        <f>IF(ISNA(VLOOKUP(LEFT(I49,1)&amp;"."&amp;J49,D_Men,2,FALSE)),0,VLOOKUP(LEFT(I49,1)&amp;"."&amp;J49,D_Men,2,FALSE))</f>
        <v>0</v>
      </c>
      <c r="L49" s="11">
        <f>IF(ISNA(VLOOKUP(LEFT(I49,1)&amp;"."&amp;J49,D_Men,3,FALSE)),0,VLOOKUP(LEFT(I49,1)&amp;"."&amp;J49,D_Men,3,FALSE))</f>
        <v>0</v>
      </c>
      <c r="M49" s="11">
        <f>VLOOKUP(I49,'Data Sheet'!$B$1:$C$9,2,FALSE)</f>
        <v>0</v>
      </c>
      <c r="N49" s="31"/>
      <c r="O49" s="32"/>
      <c r="P49" s="32"/>
      <c r="Q49" s="32"/>
      <c r="R49" s="32"/>
      <c r="S49" s="32"/>
      <c r="T49" s="32"/>
      <c r="U49" s="32"/>
      <c r="V49" s="32"/>
      <c r="W49" s="32"/>
      <c r="X49" s="32"/>
      <c r="Y49" s="32"/>
      <c r="Z49" s="32"/>
      <c r="AA49" s="32"/>
      <c r="AB49" s="32"/>
      <c r="AC49" s="32"/>
      <c r="AD49" s="32"/>
    </row>
    <row r="50" spans="1:30" x14ac:dyDescent="0.25">
      <c r="A50" s="86" t="str">
        <f>IF(AND(E50&gt;1,F49=3),"Max 1 Automatic Rifle for Inexperienced squads",IF(AND(E50&gt;1,F49=1),"Max 1 Automatic Rifles for Regular squads","Optional Automatic Rifles"))</f>
        <v>Optional Automatic Rifles</v>
      </c>
      <c r="B50" s="87"/>
      <c r="C50" s="67" t="s">
        <v>217</v>
      </c>
      <c r="D50" s="11">
        <f>VLOOKUP(C50,D_AutoR,2,FALSE)</f>
        <v>0</v>
      </c>
      <c r="E50" s="11">
        <f>VLOOKUP(C50,D_AutoR,3,FALSE)</f>
        <v>0</v>
      </c>
      <c r="F50" s="11">
        <f>IF(AND(E50&gt;1,F49=3),1,IF(AND(E50&gt;1,F49=1),1,0))</f>
        <v>0</v>
      </c>
      <c r="G50" s="6"/>
      <c r="H50" s="86" t="str">
        <f>IF(AND(L50&gt;1,M49=3),"Max 1 Automatic Rifle for Inexperienced squads",IF(AND(L50&gt;1,M49=1),"Max 1 Automatic Rifles for Regular squads","Optional Automatic Rifles"))</f>
        <v>Optional Automatic Rifles</v>
      </c>
      <c r="I50" s="87"/>
      <c r="J50" s="67" t="s">
        <v>217</v>
      </c>
      <c r="K50" s="11">
        <f>VLOOKUP(J50,D_AutoR,2,FALSE)</f>
        <v>0</v>
      </c>
      <c r="L50" s="11">
        <f>VLOOKUP(J50,D_AutoR,3,FALSE)</f>
        <v>0</v>
      </c>
      <c r="M50" s="11">
        <f>IF(AND(L50&gt;1,M49=3),1,IF(AND(L50&gt;1,M49=1),1,0))</f>
        <v>0</v>
      </c>
      <c r="N50" s="31"/>
      <c r="O50" s="32"/>
      <c r="P50" s="32"/>
      <c r="Q50" s="32"/>
      <c r="R50" s="32"/>
      <c r="S50" s="32"/>
      <c r="T50" s="32"/>
      <c r="U50" s="32"/>
      <c r="V50" s="32"/>
      <c r="W50" s="32"/>
      <c r="X50" s="32"/>
      <c r="Y50" s="32"/>
      <c r="Z50" s="32"/>
      <c r="AA50" s="32"/>
      <c r="AB50" s="32"/>
      <c r="AC50" s="32"/>
      <c r="AD50" s="32"/>
    </row>
    <row r="51" spans="1:30" x14ac:dyDescent="0.25">
      <c r="A51" s="86" t="str">
        <f>IF(AND(E51&gt;1,F49=3),"Max 1 SMG for Inexperienced squads",IF(AND(E51&gt;2,F49=1),"Max 2 SMG for Regular squads","Optional SMG"))</f>
        <v>Optional SMG</v>
      </c>
      <c r="B51" s="87"/>
      <c r="C51" s="67" t="s">
        <v>27</v>
      </c>
      <c r="D51" s="11">
        <f>VLOOKUP(C51,D_SMG,2,FALSE)</f>
        <v>0</v>
      </c>
      <c r="E51" s="11">
        <f>VLOOKUP(C51,D_SMG,3,FALSE)</f>
        <v>0</v>
      </c>
      <c r="F51" s="11">
        <f>IF(AND(E51&gt;1,F49=3),1,IF(AND(E51&gt;2,F49=1),1,0))</f>
        <v>0</v>
      </c>
      <c r="G51" s="6"/>
      <c r="H51" s="86" t="str">
        <f>IF(AND(L51&gt;3,OR(M49=4,M49=5,M49=6)),"Max 3 SMG for Inexperienced squads",IF(AND(L51&gt;2,M49=1),"Max 2 SMG for Regular Wehrmacht",IF(AND(L51&gt;7,M49=2),"Max 7 SMG","Optional SMG")))</f>
        <v>Optional SMG</v>
      </c>
      <c r="I51" s="87"/>
      <c r="J51" s="67" t="s">
        <v>27</v>
      </c>
      <c r="K51" s="11">
        <f>VLOOKUP(J51,D_SMG,2,FALSE)</f>
        <v>0</v>
      </c>
      <c r="L51" s="11">
        <f>VLOOKUP(J51,D_SMG,3,FALSE)</f>
        <v>0</v>
      </c>
      <c r="M51" s="11">
        <f>IF(AND(L51&gt;1,M49=3),1,IF(AND(L51&gt;2,M49=1),1,0))</f>
        <v>0</v>
      </c>
      <c r="N51" s="31"/>
      <c r="O51" s="32"/>
      <c r="P51" s="32"/>
      <c r="Q51" s="32"/>
      <c r="R51" s="32"/>
      <c r="S51" s="32"/>
      <c r="T51" s="32"/>
      <c r="U51" s="32"/>
      <c r="V51" s="32"/>
      <c r="W51" s="32"/>
      <c r="X51" s="32"/>
      <c r="Y51" s="32"/>
      <c r="Z51" s="32"/>
      <c r="AA51" s="32"/>
      <c r="AB51" s="32"/>
      <c r="AC51" s="32"/>
      <c r="AD51" s="32"/>
    </row>
    <row r="52" spans="1:30" x14ac:dyDescent="0.25">
      <c r="A52" s="86" t="s">
        <v>172</v>
      </c>
      <c r="B52" s="87"/>
      <c r="C52" s="67" t="s">
        <v>28</v>
      </c>
      <c r="D52" s="11">
        <f>VLOOKUP(C52,D_ATG,2,FALSE)</f>
        <v>0</v>
      </c>
      <c r="E52" s="11">
        <f>VLOOKUP(C52,D_ATG,3,FALSE)</f>
        <v>0</v>
      </c>
      <c r="F52" s="11">
        <f>IF(AND(E52&gt;0,OR(F49=2,F49=3)),1,0)</f>
        <v>0</v>
      </c>
      <c r="G52" s="6"/>
      <c r="H52" s="86" t="s">
        <v>172</v>
      </c>
      <c r="I52" s="87"/>
      <c r="J52" s="67" t="s">
        <v>28</v>
      </c>
      <c r="K52" s="11">
        <f>VLOOKUP(J52,D_ATG,2,FALSE)</f>
        <v>0</v>
      </c>
      <c r="L52" s="11">
        <f>VLOOKUP(J52,D_ATG,3,FALSE)</f>
        <v>0</v>
      </c>
      <c r="M52" s="11">
        <f>IF(AND(L52&gt;0,OR(M49=2,M49=3)),1,0)</f>
        <v>0</v>
      </c>
      <c r="N52" s="31"/>
      <c r="O52" s="32"/>
      <c r="P52" s="32"/>
      <c r="Q52" s="32"/>
      <c r="R52" s="32"/>
      <c r="S52" s="32"/>
      <c r="T52" s="32"/>
      <c r="U52" s="32"/>
      <c r="V52" s="32"/>
      <c r="W52" s="32"/>
      <c r="X52" s="32"/>
      <c r="Y52" s="32"/>
      <c r="Z52" s="32"/>
      <c r="AA52" s="32"/>
      <c r="AB52" s="32"/>
      <c r="AC52" s="32"/>
      <c r="AD52" s="32"/>
    </row>
    <row r="53" spans="1:30" x14ac:dyDescent="0.25">
      <c r="A53" s="40" t="s">
        <v>37</v>
      </c>
      <c r="B53" s="68" t="s">
        <v>30</v>
      </c>
      <c r="C53" s="67" t="s">
        <v>30</v>
      </c>
      <c r="D53" s="11">
        <f>IF(ISNA(VLOOKUP(LEFT(B53,1)&amp;"."&amp;C53,D_Transport,2,FALSE)),0,VLOOKUP(LEFT(B53,1)&amp;"."&amp;C53,D_Transport,2,FALSE))</f>
        <v>0</v>
      </c>
      <c r="E53" s="11">
        <f>IF(ISNA(VLOOKUP(LEFT(B53,1)&amp;"."&amp;C53,D_Transport,3,FALSE)),0,VLOOKUP(LEFT(B53,1)&amp;"."&amp;C53,D_Transport,3,FALSE))</f>
        <v>0</v>
      </c>
      <c r="F53" s="6"/>
      <c r="G53" s="6"/>
      <c r="H53" s="55" t="s">
        <v>37</v>
      </c>
      <c r="I53" s="68" t="s">
        <v>30</v>
      </c>
      <c r="J53" s="67" t="s">
        <v>30</v>
      </c>
      <c r="K53" s="11">
        <f>IF(ISNA(VLOOKUP(LEFT(I53,1)&amp;"."&amp;J53,D_Transport,2,FALSE)),0,VLOOKUP(LEFT(I53,1)&amp;"."&amp;J53,D_Transport,2,FALSE))</f>
        <v>0</v>
      </c>
      <c r="L53" s="11">
        <f>IF(ISNA(VLOOKUP(LEFT(I53,1)&amp;"."&amp;J53,D_Transport,3,FALSE)),0,VLOOKUP(LEFT(I53,1)&amp;"."&amp;J53,D_Transport,3,FALSE))</f>
        <v>0</v>
      </c>
      <c r="M53" s="6"/>
      <c r="N53" s="31"/>
      <c r="O53" s="32"/>
      <c r="P53" s="32"/>
      <c r="Q53" s="32"/>
      <c r="R53" s="32"/>
      <c r="S53" s="32"/>
      <c r="T53" s="32"/>
      <c r="U53" s="32"/>
      <c r="V53" s="32"/>
      <c r="W53" s="32"/>
      <c r="X53" s="32"/>
      <c r="Y53" s="32"/>
      <c r="Z53" s="32"/>
      <c r="AA53" s="32"/>
      <c r="AB53" s="32"/>
      <c r="AC53" s="32"/>
      <c r="AD53" s="32"/>
    </row>
    <row r="54" spans="1:30" ht="15" customHeight="1" x14ac:dyDescent="0.25">
      <c r="A54" s="91" t="str">
        <f>IF(E50&gt;E49,"Too many Automatic Rifles",IF(E51&gt;E49,"Too many SMG",IF((E50+E51)&gt;E49,"Too many Automatic Rifles / SMG's altogether",IF(E52&gt;E49,"Too many Anti-Tank Grenades",IF(E53-E49&gt;0,"Cannot select transport if no Squad selected","")))))</f>
        <v/>
      </c>
      <c r="B54" s="92"/>
      <c r="C54" s="93"/>
      <c r="D54" s="12">
        <f>SUM(D49:D53)</f>
        <v>0</v>
      </c>
      <c r="H54" s="91" t="str">
        <f>IF(L50&gt;L49,"Too many Automatic Rifles",IF(L51&gt;L49,"Too many SMG",IF((L50+L51)&gt;L49,"Too many Automatic Rifles / SMG's altogether",IF(L52&gt;L49,"Too many Anti-Tank Grenades",IF(L53-L49&gt;0,"Cannot select transport if no Squad selected","")))))</f>
        <v/>
      </c>
      <c r="I54" s="92"/>
      <c r="J54" s="93"/>
      <c r="K54" s="12">
        <f>SUM(K49:K53)</f>
        <v>0</v>
      </c>
      <c r="M54" s="31"/>
      <c r="N54" s="31"/>
      <c r="O54" s="32"/>
      <c r="P54" s="32"/>
      <c r="Q54" s="32"/>
      <c r="R54" s="32"/>
      <c r="S54" s="32"/>
      <c r="T54" s="32"/>
      <c r="U54" s="32"/>
      <c r="V54" s="32"/>
      <c r="W54" s="32"/>
      <c r="X54" s="32"/>
      <c r="Y54" s="32"/>
      <c r="Z54" s="32"/>
      <c r="AA54" s="32"/>
      <c r="AB54" s="32"/>
      <c r="AC54" s="32"/>
      <c r="AD54" s="32"/>
    </row>
    <row r="55" spans="1:30" ht="5.0999999999999996" customHeight="1" x14ac:dyDescent="0.25">
      <c r="A55" s="91"/>
      <c r="B55" s="92"/>
      <c r="C55" s="93"/>
      <c r="D55" s="12"/>
      <c r="H55" s="91"/>
      <c r="I55" s="92"/>
      <c r="J55" s="93"/>
      <c r="K55" s="12"/>
      <c r="M55" s="31"/>
      <c r="N55" s="31"/>
      <c r="O55" s="32"/>
      <c r="P55" s="32"/>
      <c r="Q55" s="32"/>
      <c r="R55" s="32"/>
      <c r="S55" s="32"/>
      <c r="T55" s="32"/>
      <c r="U55" s="32"/>
      <c r="V55" s="32"/>
      <c r="W55" s="32"/>
      <c r="X55" s="32"/>
      <c r="Y55" s="32"/>
      <c r="Z55" s="32"/>
      <c r="AA55" s="32"/>
      <c r="AB55" s="32"/>
      <c r="AC55" s="32"/>
      <c r="AD55" s="32"/>
    </row>
    <row r="56" spans="1:30" x14ac:dyDescent="0.25">
      <c r="A56" s="39" t="s">
        <v>135</v>
      </c>
      <c r="B56" s="68" t="s">
        <v>30</v>
      </c>
      <c r="C56" s="67" t="s">
        <v>30</v>
      </c>
      <c r="D56" s="11">
        <f>IF(ISNA(VLOOKUP(LEFT(B56,1)&amp;"."&amp;C56,D_Officers1,2,FALSE)),0,VLOOKUP(LEFT(B56,1)&amp;"."&amp;C56,D_Officers1,2,FALSE))</f>
        <v>0</v>
      </c>
      <c r="E56" s="11">
        <f>IF(ISNA(VLOOKUP((LEFT(B56,1)&amp;"."&amp;C56),D_Officers1,3,FALSE)),0,VLOOKUP((LEFT(B56,1)&amp;"."&amp;C56),D_Officers1,3,FALSE))</f>
        <v>0</v>
      </c>
      <c r="F56" s="6"/>
      <c r="G56" s="6"/>
      <c r="H56" s="39" t="s">
        <v>135</v>
      </c>
      <c r="I56" s="68" t="s">
        <v>30</v>
      </c>
      <c r="J56" s="67" t="s">
        <v>30</v>
      </c>
      <c r="K56" s="11">
        <f>IF(ISNA(VLOOKUP(LEFT(I56,1)&amp;"."&amp;J56,D_Officers1,2,FALSE)),0,VLOOKUP(LEFT(I56,1)&amp;"."&amp;J56,D_Officers1,2,FALSE))</f>
        <v>0</v>
      </c>
      <c r="L56" s="11">
        <f>IF(ISNA(VLOOKUP((LEFT(I56,1)&amp;"."&amp;J56),D_Officers1,3,FALSE)),0,VLOOKUP((LEFT(I56,1)&amp;"."&amp;J56),D_Officers1,3,FALSE))</f>
        <v>0</v>
      </c>
      <c r="M56" s="31"/>
      <c r="N56" s="31"/>
      <c r="O56" s="31"/>
      <c r="P56" s="32"/>
      <c r="Q56" s="32"/>
      <c r="R56" s="32"/>
      <c r="S56" s="32"/>
      <c r="T56" s="32"/>
      <c r="U56" s="32"/>
      <c r="V56" s="32"/>
      <c r="W56" s="32"/>
      <c r="X56" s="32"/>
      <c r="Y56" s="32"/>
      <c r="Z56" s="32"/>
      <c r="AA56" s="32"/>
      <c r="AB56" s="32"/>
      <c r="AC56" s="32"/>
      <c r="AD56" s="32"/>
    </row>
    <row r="57" spans="1:30" x14ac:dyDescent="0.25">
      <c r="A57" s="10" t="s">
        <v>36</v>
      </c>
      <c r="B57" s="68" t="s">
        <v>30</v>
      </c>
      <c r="C57" s="67" t="s">
        <v>30</v>
      </c>
      <c r="D57" s="11">
        <f>IF(ISNA(VLOOKUP(LEFT(B57,1)&amp;"."&amp;C57,D_AddMen,2,FALSE)),0,VLOOKUP(LEFT(B57,1)&amp;"."&amp;C57,D_AddMen,2,FALSE))</f>
        <v>0</v>
      </c>
      <c r="E57" s="11">
        <f>IF(ISNA(VLOOKUP((LEFT(B57,1)&amp;"."&amp;C57),D_AddMen,3,FALSE)),0,VLOOKUP((LEFT(B57,1)&amp;"."&amp;C57),D_AddMen,3,FALSE))</f>
        <v>0</v>
      </c>
      <c r="F57" s="6"/>
      <c r="G57" s="6"/>
      <c r="H57" s="10" t="s">
        <v>36</v>
      </c>
      <c r="I57" s="68" t="s">
        <v>30</v>
      </c>
      <c r="J57" s="67" t="s">
        <v>30</v>
      </c>
      <c r="K57" s="11">
        <f>IF(ISNA(VLOOKUP(LEFT(I57,1)&amp;"."&amp;J57,D_AddMen,2,FALSE)),0,VLOOKUP(LEFT(I57,1)&amp;"."&amp;J57,D_AddMen,2,FALSE))</f>
        <v>0</v>
      </c>
      <c r="L57" s="11">
        <f>IF(ISNA(VLOOKUP((LEFT(I57,1)&amp;"."&amp;J57),D_AddMen,3,FALSE)),0,VLOOKUP((LEFT(I57,1)&amp;"."&amp;J57),D_AddMen,3,FALSE))</f>
        <v>0</v>
      </c>
      <c r="M57" s="31"/>
      <c r="N57" s="31"/>
      <c r="O57" s="31"/>
      <c r="P57" s="32"/>
      <c r="Q57" s="32"/>
      <c r="R57" s="32"/>
      <c r="S57" s="32"/>
      <c r="T57" s="32"/>
      <c r="U57" s="32"/>
      <c r="V57" s="32"/>
      <c r="W57" s="32"/>
      <c r="X57" s="32"/>
      <c r="Y57" s="32"/>
      <c r="Z57" s="32"/>
      <c r="AA57" s="32"/>
      <c r="AB57" s="32"/>
      <c r="AC57" s="32"/>
      <c r="AD57" s="32"/>
    </row>
    <row r="58" spans="1:30" x14ac:dyDescent="0.25">
      <c r="A58" s="13" t="s">
        <v>37</v>
      </c>
      <c r="B58" s="68" t="s">
        <v>30</v>
      </c>
      <c r="C58" s="67" t="s">
        <v>30</v>
      </c>
      <c r="D58" s="11">
        <f>IF(ISNA(VLOOKUP(LEFT(B58,1)&amp;"."&amp;C58,D_Transport,2,FALSE)),0,VLOOKUP(LEFT(B58,1)&amp;"."&amp;C58,D_Transport,2,FALSE))</f>
        <v>0</v>
      </c>
      <c r="E58" s="11">
        <f>IF(ISNA(VLOOKUP((LEFT(B58,1)&amp;"."&amp;C58),D_Transport,3,FALSE)),0,VLOOKUP((LEFT(B58,1)&amp;"."&amp;C58),D_Transport,3,FALSE))</f>
        <v>0</v>
      </c>
      <c r="F58" s="6"/>
      <c r="G58" s="6"/>
      <c r="H58" s="13" t="s">
        <v>37</v>
      </c>
      <c r="I58" s="68" t="s">
        <v>30</v>
      </c>
      <c r="J58" s="67" t="s">
        <v>30</v>
      </c>
      <c r="K58" s="11">
        <f>IF(ISNA(VLOOKUP(LEFT(I58,1)&amp;"."&amp;J58,D_Transport,2,FALSE)),0,VLOOKUP(LEFT(I58,1)&amp;"."&amp;J58,D_Transport,2,FALSE))</f>
        <v>0</v>
      </c>
      <c r="L58" s="11">
        <f>IF(ISNA(VLOOKUP((LEFT(I58,1)&amp;"."&amp;J58),D_Transport,3,FALSE)),0,VLOOKUP((LEFT(I58,1)&amp;"."&amp;J58),D_Transport,3,FALSE))</f>
        <v>0</v>
      </c>
      <c r="M58" s="31"/>
      <c r="N58" s="31"/>
      <c r="O58" s="31"/>
      <c r="P58" s="32"/>
      <c r="Q58" s="32"/>
      <c r="R58" s="32"/>
      <c r="S58" s="32"/>
      <c r="T58" s="32"/>
      <c r="U58" s="32"/>
      <c r="V58" s="32"/>
      <c r="W58" s="32"/>
      <c r="X58" s="32"/>
      <c r="Y58" s="32"/>
      <c r="Z58" s="32"/>
      <c r="AA58" s="32"/>
      <c r="AB58" s="32"/>
      <c r="AC58" s="32"/>
      <c r="AD58" s="32"/>
    </row>
    <row r="59" spans="1:30" x14ac:dyDescent="0.25">
      <c r="A59" s="91" t="str">
        <f>IF(AND(E56=1,E57&gt;0,B56&lt;&gt;B57),"Officer &amp; Additional Men must be same experience level",IF(AND(E56=0,E57&gt;0),"Cannot select additional men if no Officer selected",IF(AND(E56=0,E58&gt;0),"Cannot select transport no Officer selected","")))</f>
        <v/>
      </c>
      <c r="B59" s="92"/>
      <c r="C59" s="93"/>
      <c r="D59" s="12">
        <f>SUM(D56:D58)</f>
        <v>0</v>
      </c>
      <c r="E59" s="6"/>
      <c r="F59" s="6"/>
      <c r="G59" s="6"/>
      <c r="H59" s="91" t="str">
        <f>IF(AND(L56=1,L57&gt;0,I56&lt;&gt;I57),"Officer &amp; Additional Men must be same experience level",IF(AND(L56=0,L57&gt;0),"Cannot select additional men if no Officer selected",IF(AND(L56=0,L58&gt;0),"Cannot select transport no Officer selected","")))</f>
        <v/>
      </c>
      <c r="I59" s="92"/>
      <c r="J59" s="93"/>
      <c r="K59" s="12">
        <f>SUM(K56:K58)</f>
        <v>0</v>
      </c>
      <c r="L59" s="6"/>
      <c r="M59" s="31"/>
      <c r="N59" s="31"/>
      <c r="O59" s="31"/>
      <c r="P59" s="32"/>
      <c r="Q59" s="32"/>
      <c r="R59" s="32"/>
      <c r="S59" s="32"/>
      <c r="T59" s="32"/>
      <c r="U59" s="32"/>
      <c r="V59" s="32"/>
      <c r="W59" s="32"/>
      <c r="X59" s="32"/>
      <c r="Y59" s="32"/>
      <c r="Z59" s="32"/>
      <c r="AA59" s="32"/>
      <c r="AB59" s="32"/>
      <c r="AC59" s="32"/>
      <c r="AD59" s="32"/>
    </row>
    <row r="60" spans="1:30" ht="5.0999999999999996" customHeight="1" x14ac:dyDescent="0.25">
      <c r="A60" s="56"/>
      <c r="B60" s="57"/>
      <c r="C60" s="58"/>
      <c r="D60" s="12"/>
      <c r="H60" s="56"/>
      <c r="I60" s="57"/>
      <c r="J60" s="58"/>
      <c r="K60" s="12"/>
      <c r="M60" s="31"/>
      <c r="N60" s="31"/>
      <c r="O60" s="32"/>
      <c r="P60" s="32"/>
      <c r="Q60" s="32"/>
      <c r="R60" s="32"/>
      <c r="S60" s="32"/>
      <c r="T60" s="32"/>
      <c r="U60" s="32"/>
      <c r="V60" s="32"/>
      <c r="W60" s="32"/>
      <c r="X60" s="32"/>
      <c r="Y60" s="32"/>
      <c r="Z60" s="32"/>
      <c r="AA60" s="32"/>
      <c r="AB60" s="32"/>
      <c r="AC60" s="32"/>
      <c r="AD60" s="32"/>
    </row>
    <row r="61" spans="1:30" x14ac:dyDescent="0.25">
      <c r="A61" s="39" t="s">
        <v>42</v>
      </c>
      <c r="B61" s="68" t="s">
        <v>30</v>
      </c>
      <c r="C61" s="67" t="s">
        <v>30</v>
      </c>
      <c r="D61" s="11">
        <f>IF(ISNA(VLOOKUP(LEFT(B61,1)&amp;"."&amp;C61,D_Medic,2,FALSE)),0,VLOOKUP(LEFT(B61,1)&amp;"."&amp;C61,D_Medic,2,FALSE))</f>
        <v>0</v>
      </c>
      <c r="E61" s="11">
        <f>IF(ISNA(VLOOKUP((LEFT(B61,1)&amp;"."&amp;C61),D_Medic,3,FALSE)),0,VLOOKUP((LEFT(B61,1)&amp;"."&amp;C61),D_Medic,3,FALSE))</f>
        <v>0</v>
      </c>
      <c r="F61" s="6"/>
      <c r="G61" s="6"/>
      <c r="H61" s="39" t="s">
        <v>42</v>
      </c>
      <c r="I61" s="68" t="s">
        <v>30</v>
      </c>
      <c r="J61" s="67" t="s">
        <v>30</v>
      </c>
      <c r="K61" s="11">
        <f>IF(ISNA(VLOOKUP(LEFT(I61,1)&amp;"."&amp;J61,D_Medic,2,FALSE)),0,VLOOKUP(LEFT(I61,1)&amp;"."&amp;J61,D_Medic,2,FALSE))</f>
        <v>0</v>
      </c>
      <c r="L61" s="11">
        <f>IF(ISNA(VLOOKUP((LEFT(I61,1)&amp;"."&amp;J61),D_Medic,3,FALSE)),0,VLOOKUP((LEFT(I61,1)&amp;"."&amp;J61),D_Medic,3,FALSE))</f>
        <v>0</v>
      </c>
      <c r="M61" s="31"/>
      <c r="N61" s="31"/>
      <c r="O61" s="31"/>
      <c r="P61" s="32"/>
      <c r="Q61" s="32"/>
      <c r="R61" s="32"/>
      <c r="S61" s="32"/>
      <c r="T61" s="32"/>
      <c r="U61" s="32"/>
      <c r="V61" s="32"/>
      <c r="W61" s="32"/>
      <c r="X61" s="32"/>
      <c r="Y61" s="32"/>
      <c r="Z61" s="32"/>
      <c r="AA61" s="32"/>
      <c r="AB61" s="32"/>
      <c r="AC61" s="32"/>
      <c r="AD61" s="32"/>
    </row>
    <row r="62" spans="1:30" x14ac:dyDescent="0.25">
      <c r="A62" s="10" t="s">
        <v>36</v>
      </c>
      <c r="B62" s="68" t="s">
        <v>30</v>
      </c>
      <c r="C62" s="67" t="s">
        <v>30</v>
      </c>
      <c r="D62" s="11">
        <f>IF(ISNA(VLOOKUP(LEFT(B62,1)&amp;"."&amp;C62,D_AddMen,2,FALSE)),0,VLOOKUP(LEFT(B62,1)&amp;"."&amp;C62,D_AddMen,2,FALSE))</f>
        <v>0</v>
      </c>
      <c r="E62" s="11">
        <f>IF(ISNA(VLOOKUP((LEFT(B62,1)&amp;"."&amp;C62),D_AddMen,3,FALSE)),0,VLOOKUP((LEFT(B62,1)&amp;"."&amp;C62),D_AddMen,3,FALSE))</f>
        <v>0</v>
      </c>
      <c r="F62" s="6"/>
      <c r="G62" s="6"/>
      <c r="H62" s="10" t="s">
        <v>36</v>
      </c>
      <c r="I62" s="68" t="s">
        <v>30</v>
      </c>
      <c r="J62" s="67" t="s">
        <v>30</v>
      </c>
      <c r="K62" s="11">
        <f>IF(ISNA(VLOOKUP(LEFT(I62,1)&amp;"."&amp;J62,D_AddMen,2,FALSE)),0,VLOOKUP(LEFT(I62,1)&amp;"."&amp;J62,D_AddMen,2,FALSE))</f>
        <v>0</v>
      </c>
      <c r="L62" s="11">
        <f>IF(ISNA(VLOOKUP((LEFT(I62,1)&amp;"."&amp;J62),D_AddMen,3,FALSE)),0,VLOOKUP((LEFT(I62,1)&amp;"."&amp;J62),D_AddMen,3,FALSE))</f>
        <v>0</v>
      </c>
      <c r="M62" s="31"/>
      <c r="N62" s="31"/>
      <c r="O62" s="31"/>
      <c r="P62" s="32"/>
      <c r="Q62" s="32"/>
      <c r="R62" s="32"/>
      <c r="S62" s="32"/>
      <c r="T62" s="32"/>
      <c r="U62" s="32"/>
      <c r="V62" s="32"/>
      <c r="W62" s="32"/>
      <c r="X62" s="32"/>
      <c r="Y62" s="32"/>
      <c r="Z62" s="32"/>
      <c r="AA62" s="32"/>
      <c r="AB62" s="32"/>
      <c r="AC62" s="32"/>
      <c r="AD62" s="32"/>
    </row>
    <row r="63" spans="1:30" x14ac:dyDescent="0.25">
      <c r="A63" s="13" t="s">
        <v>37</v>
      </c>
      <c r="B63" s="68" t="s">
        <v>30</v>
      </c>
      <c r="C63" s="67" t="s">
        <v>30</v>
      </c>
      <c r="D63" s="11">
        <f>IF(ISNA(VLOOKUP(LEFT(B63,1)&amp;"."&amp;C63,D_Transport,2,FALSE)),0,VLOOKUP(LEFT(B63,1)&amp;"."&amp;C63,D_Transport,2,FALSE))</f>
        <v>0</v>
      </c>
      <c r="E63" s="11">
        <f>IF(ISNA(VLOOKUP((LEFT(B63,1)&amp;"."&amp;C63),D_Transport,3,FALSE)),0,VLOOKUP((LEFT(B63,1)&amp;"."&amp;C63),D_Transport,3,FALSE))</f>
        <v>0</v>
      </c>
      <c r="F63" s="6"/>
      <c r="G63" s="6"/>
      <c r="H63" s="13" t="s">
        <v>37</v>
      </c>
      <c r="I63" s="68" t="s">
        <v>30</v>
      </c>
      <c r="J63" s="67" t="s">
        <v>30</v>
      </c>
      <c r="K63" s="11">
        <f>IF(ISNA(VLOOKUP(LEFT(I63,1)&amp;"."&amp;J63,D_Transport,2,FALSE)),0,VLOOKUP(LEFT(I63,1)&amp;"."&amp;J63,D_Transport,2,FALSE))</f>
        <v>0</v>
      </c>
      <c r="L63" s="11">
        <f>IF(ISNA(VLOOKUP((LEFT(I63,1)&amp;"."&amp;J63),D_Transport,3,FALSE)),0,VLOOKUP((LEFT(I63,1)&amp;"."&amp;J63),D_Transport,3,FALSE))</f>
        <v>0</v>
      </c>
      <c r="M63" s="31"/>
      <c r="N63" s="31"/>
      <c r="O63" s="31"/>
      <c r="P63" s="32"/>
      <c r="Q63" s="32"/>
      <c r="R63" s="32"/>
      <c r="S63" s="32"/>
      <c r="T63" s="32"/>
      <c r="U63" s="32"/>
      <c r="V63" s="32"/>
      <c r="W63" s="32"/>
      <c r="X63" s="32"/>
      <c r="Y63" s="32"/>
      <c r="Z63" s="32"/>
      <c r="AA63" s="32"/>
      <c r="AB63" s="32"/>
      <c r="AC63" s="32"/>
      <c r="AD63" s="32"/>
    </row>
    <row r="64" spans="1:30" x14ac:dyDescent="0.25">
      <c r="A64" s="91" t="str">
        <f>IF(E61=0,IF(E62&gt;0,"Cannot select additional men if no Medic selected",IF(E63&gt;0,"Cannot select transport no Medic selected","")),"")</f>
        <v/>
      </c>
      <c r="B64" s="92"/>
      <c r="C64" s="93"/>
      <c r="D64" s="12">
        <f>SUM(D61:D63)</f>
        <v>0</v>
      </c>
      <c r="E64" s="6"/>
      <c r="F64" s="6"/>
      <c r="G64" s="6"/>
      <c r="H64" s="91" t="str">
        <f>IF(L61=0,IF(L62&gt;0,"Cannot select additional men if no Medic selected",IF(L63&gt;0,"Cannot select transport no Medic selected","")),"")</f>
        <v/>
      </c>
      <c r="I64" s="92"/>
      <c r="J64" s="93"/>
      <c r="K64" s="12">
        <f>SUM(K61:K63)</f>
        <v>0</v>
      </c>
      <c r="L64" s="6"/>
      <c r="M64" s="31"/>
      <c r="N64" s="31"/>
      <c r="O64" s="31"/>
      <c r="P64" s="32"/>
      <c r="Q64" s="32"/>
      <c r="R64" s="32"/>
      <c r="S64" s="32"/>
      <c r="T64" s="32"/>
      <c r="U64" s="32"/>
      <c r="V64" s="32"/>
      <c r="W64" s="32"/>
      <c r="X64" s="32"/>
      <c r="Y64" s="32"/>
      <c r="Z64" s="32"/>
      <c r="AA64" s="32"/>
      <c r="AB64" s="32"/>
      <c r="AC64" s="32"/>
      <c r="AD64" s="32"/>
    </row>
    <row r="65" spans="1:30" ht="5.0999999999999996" customHeight="1" x14ac:dyDescent="0.25">
      <c r="A65" s="7"/>
      <c r="B65" s="7"/>
      <c r="C65" s="5"/>
      <c r="D65" s="6"/>
      <c r="G65" s="6"/>
      <c r="H65" s="7"/>
      <c r="I65" s="7"/>
      <c r="J65" s="5"/>
      <c r="K65" s="6"/>
      <c r="M65" s="31"/>
      <c r="N65" s="31"/>
      <c r="O65" s="31"/>
      <c r="P65" s="32"/>
      <c r="Q65" s="32"/>
      <c r="R65" s="32"/>
      <c r="S65" s="32"/>
      <c r="T65" s="32"/>
      <c r="U65" s="32"/>
      <c r="V65" s="32"/>
      <c r="W65" s="32"/>
      <c r="X65" s="32"/>
      <c r="Y65" s="32"/>
      <c r="Z65" s="32"/>
      <c r="AA65" s="32"/>
      <c r="AB65" s="32"/>
      <c r="AC65" s="32"/>
      <c r="AD65" s="32"/>
    </row>
    <row r="66" spans="1:30" x14ac:dyDescent="0.25">
      <c r="A66" s="14" t="s">
        <v>43</v>
      </c>
      <c r="B66" s="68" t="s">
        <v>30</v>
      </c>
      <c r="C66" s="67" t="s">
        <v>30</v>
      </c>
      <c r="D66" s="11">
        <f>IF(ISNA(VLOOKUP(LEFT(B66,1)&amp;"."&amp;C66,D_Observers,2,FALSE)),0,VLOOKUP((LEFT(B66,1)&amp;"."&amp;C66),D_Observers,2,FALSE))</f>
        <v>0</v>
      </c>
      <c r="E66" s="11">
        <f>IF(ISNA(VLOOKUP(LEFT(B66,1)&amp;"."&amp;C66,D_Observers,3,FALSE)),0,VLOOKUP(LEFT(B66,1)&amp;"."&amp;C66,D_Observers,3,FALSE))</f>
        <v>0</v>
      </c>
      <c r="F66" s="6"/>
      <c r="G66" s="6"/>
      <c r="H66" s="14" t="s">
        <v>43</v>
      </c>
      <c r="I66" s="68" t="s">
        <v>30</v>
      </c>
      <c r="J66" s="67" t="s">
        <v>30</v>
      </c>
      <c r="K66" s="11">
        <f>IF(ISNA(VLOOKUP(LEFT(I66,1)&amp;"."&amp;J66,D_Observers,2,FALSE)),0,VLOOKUP((LEFT(I66,1)&amp;"."&amp;J66),D_Observers,2,FALSE))</f>
        <v>0</v>
      </c>
      <c r="L66" s="11">
        <f>IF(ISNA(VLOOKUP(LEFT(I66,1)&amp;"."&amp;J66,D_Observers,3,FALSE)),0,VLOOKUP(LEFT(I66,1)&amp;"."&amp;J66,D_Observers,3,FALSE))</f>
        <v>0</v>
      </c>
      <c r="M66" s="31"/>
      <c r="N66" s="31"/>
      <c r="O66" s="32"/>
      <c r="P66" s="32"/>
      <c r="Q66" s="32"/>
      <c r="R66" s="32"/>
      <c r="S66" s="32"/>
      <c r="T66" s="32"/>
      <c r="U66" s="32"/>
      <c r="V66" s="32"/>
      <c r="W66" s="32"/>
      <c r="X66" s="32"/>
      <c r="Y66" s="32"/>
      <c r="Z66" s="32"/>
      <c r="AA66" s="32"/>
      <c r="AB66" s="32"/>
      <c r="AC66" s="32"/>
      <c r="AD66" s="32"/>
    </row>
    <row r="67" spans="1:30" x14ac:dyDescent="0.25">
      <c r="A67" s="10" t="s">
        <v>36</v>
      </c>
      <c r="B67" s="68" t="s">
        <v>30</v>
      </c>
      <c r="C67" s="67" t="s">
        <v>30</v>
      </c>
      <c r="D67" s="11">
        <f>IF(ISNA(VLOOKUP(LEFT(B67,1)&amp;"."&amp;C67,D_AddMen,2,FALSE)),0,VLOOKUP(LEFT(B67,1)&amp;"."&amp;C67,D_AddMen,2,FALSE))</f>
        <v>0</v>
      </c>
      <c r="E67" s="11">
        <f>IF(ISNA(VLOOKUP(LEFT(B67,1)&amp;"."&amp;C67,D_AddMen,3,FALSE)),0,VLOOKUP(LEFT(B67,1)&amp;"."&amp;C67,D_AddMen,3,FALSE))</f>
        <v>0</v>
      </c>
      <c r="F67" s="6"/>
      <c r="G67" s="6"/>
      <c r="H67" s="10" t="s">
        <v>36</v>
      </c>
      <c r="I67" s="68" t="s">
        <v>30</v>
      </c>
      <c r="J67" s="67" t="s">
        <v>30</v>
      </c>
      <c r="K67" s="11">
        <f>IF(ISNA(VLOOKUP(LEFT(I67,1)&amp;"."&amp;J67,D_AddMen,2,FALSE)),0,VLOOKUP(LEFT(I67,1)&amp;"."&amp;J67,D_AddMen,2,FALSE))</f>
        <v>0</v>
      </c>
      <c r="L67" s="11">
        <f>IF(ISNA(VLOOKUP(LEFT(I67,1)&amp;"."&amp;J67,D_AddMen,3,FALSE)),0,VLOOKUP(LEFT(I67,1)&amp;"."&amp;J67,D_AddMen,3,FALSE))</f>
        <v>0</v>
      </c>
      <c r="M67" s="32"/>
      <c r="N67" s="31"/>
      <c r="O67" s="32"/>
      <c r="P67" s="32"/>
      <c r="Q67" s="32"/>
      <c r="R67" s="32"/>
      <c r="S67" s="32"/>
      <c r="T67" s="32"/>
      <c r="U67" s="32"/>
      <c r="V67" s="32"/>
      <c r="W67" s="32"/>
      <c r="X67" s="32"/>
      <c r="Y67" s="32"/>
      <c r="Z67" s="32"/>
      <c r="AA67" s="32"/>
      <c r="AB67" s="32"/>
      <c r="AC67" s="32"/>
      <c r="AD67" s="32"/>
    </row>
    <row r="68" spans="1:30" x14ac:dyDescent="0.25">
      <c r="A68" s="13" t="s">
        <v>37</v>
      </c>
      <c r="B68" s="68" t="s">
        <v>30</v>
      </c>
      <c r="C68" s="67" t="s">
        <v>30</v>
      </c>
      <c r="D68" s="11">
        <f>IF(ISNA(VLOOKUP(LEFT(B68,1)&amp;"."&amp;C68,D_Transport,2,FALSE)),0,VLOOKUP(LEFT(B68,1)&amp;"."&amp;C68,D_Transport,2,FALSE))</f>
        <v>0</v>
      </c>
      <c r="E68" s="11">
        <f>IF(ISNA(VLOOKUP((LEFT(B68,1)&amp;"."&amp;C68),D_Transport,3,FALSE)),0,VLOOKUP((LEFT(B68,1)&amp;"."&amp;C68),D_Transport,3,FALSE))</f>
        <v>0</v>
      </c>
      <c r="F68" s="6"/>
      <c r="G68" s="6"/>
      <c r="H68" s="13" t="s">
        <v>37</v>
      </c>
      <c r="I68" s="68" t="s">
        <v>30</v>
      </c>
      <c r="J68" s="67" t="s">
        <v>30</v>
      </c>
      <c r="K68" s="11">
        <f>IF(ISNA(VLOOKUP(LEFT(I68,1)&amp;"."&amp;J68,D_Transport,2,FALSE)),0,VLOOKUP(LEFT(I68,1)&amp;"."&amp;J68,D_Transport,2,FALSE))</f>
        <v>0</v>
      </c>
      <c r="L68" s="11">
        <f>IF(ISNA(VLOOKUP((LEFT(I68,1)&amp;"."&amp;J68),D_Transport,3,FALSE)),0,VLOOKUP((LEFT(I68,1)&amp;"."&amp;J68),D_Transport,3,FALSE))</f>
        <v>0</v>
      </c>
      <c r="M68" s="32"/>
      <c r="N68" s="31"/>
      <c r="O68" s="32"/>
      <c r="P68" s="32"/>
      <c r="Q68" s="32"/>
      <c r="R68" s="32"/>
      <c r="S68" s="32"/>
      <c r="T68" s="32"/>
      <c r="U68" s="32"/>
      <c r="V68" s="32"/>
      <c r="W68" s="32"/>
      <c r="X68" s="32"/>
      <c r="Y68" s="32"/>
      <c r="Z68" s="32"/>
      <c r="AA68" s="32"/>
      <c r="AB68" s="32"/>
      <c r="AC68" s="32"/>
      <c r="AD68" s="32"/>
    </row>
    <row r="69" spans="1:30" x14ac:dyDescent="0.25">
      <c r="A69" s="91" t="str">
        <f>IF(AND(E66=1,E67&gt;0,B66&lt;&gt;B67),"Forward Observer &amp; Additional Men must be same experience level",IF(AND(E66=0,E67&gt;0),"Cannot select additional men if no Forward Observer selected",IF(AND(E66=0,E68&gt;0),"Cannot select transport no Forward Observer selected","")))</f>
        <v/>
      </c>
      <c r="B69" s="92"/>
      <c r="C69" s="93"/>
      <c r="D69" s="9">
        <f>SUM(D66:D68)</f>
        <v>0</v>
      </c>
      <c r="H69" s="91" t="str">
        <f>IF(AND(L66=1,L67&gt;0,I66&lt;&gt;I67),"Forward Observer &amp; Additional Men must be same experience level",IF(AND(L66=0,L67&gt;0),"Cannot select additional men if no Forward Observer selected",IF(AND(L66=0,L68&gt;0),"Cannot select transport no Forward Observer selected","")))</f>
        <v/>
      </c>
      <c r="I69" s="92"/>
      <c r="J69" s="93"/>
      <c r="K69" s="9">
        <f>SUM(K66:K68)</f>
        <v>0</v>
      </c>
      <c r="M69" s="32"/>
      <c r="N69" s="31"/>
      <c r="O69" s="32"/>
      <c r="P69" s="32"/>
      <c r="Q69" s="32"/>
      <c r="R69" s="32"/>
      <c r="S69" s="32"/>
      <c r="T69" s="32"/>
      <c r="U69" s="32"/>
      <c r="V69" s="32"/>
      <c r="W69" s="32"/>
      <c r="X69" s="32"/>
      <c r="Y69" s="32"/>
      <c r="Z69" s="32"/>
      <c r="AA69" s="32"/>
      <c r="AB69" s="32"/>
      <c r="AC69" s="32"/>
      <c r="AD69" s="32"/>
    </row>
    <row r="70" spans="1:30" ht="4.5" customHeight="1" x14ac:dyDescent="0.25">
      <c r="A70" s="7"/>
      <c r="B70" s="7"/>
      <c r="C70" s="5"/>
      <c r="D70" s="6"/>
      <c r="G70" s="6"/>
      <c r="H70" s="7"/>
      <c r="I70" s="7"/>
      <c r="J70" s="5"/>
      <c r="K70" s="6"/>
      <c r="M70" s="31"/>
      <c r="N70" s="31"/>
      <c r="O70" s="31"/>
      <c r="P70" s="32"/>
      <c r="Q70" s="32"/>
      <c r="R70" s="32"/>
      <c r="S70" s="32"/>
      <c r="T70" s="32"/>
      <c r="U70" s="32"/>
      <c r="V70" s="32"/>
      <c r="W70" s="32"/>
      <c r="X70" s="32"/>
      <c r="Y70" s="32"/>
      <c r="Z70" s="32"/>
      <c r="AA70" s="32"/>
      <c r="AB70" s="32"/>
      <c r="AC70" s="32"/>
      <c r="AD70" s="32"/>
    </row>
    <row r="71" spans="1:30" x14ac:dyDescent="0.25">
      <c r="A71" s="14" t="s">
        <v>289</v>
      </c>
      <c r="B71" s="68" t="s">
        <v>30</v>
      </c>
      <c r="C71" s="67" t="s">
        <v>30</v>
      </c>
      <c r="D71" s="11">
        <f>IF(ISNA(VLOOKUP(LEFT(B71,1)&amp;"."&amp;C71,D_MG,2,FALSE)),0,VLOOKUP(LEFT(B71,1)&amp;"."&amp;C71,D_MG,2,FALSE))</f>
        <v>0</v>
      </c>
      <c r="E71" s="11">
        <f>IF(ISNA(VLOOKUP(LEFT(B71,1)&amp;"."&amp;C71,D_MG,3,FALSE)),0,VLOOKUP(LEFT(B71,1)&amp;"."&amp;C71,D_MG,3,FALSE))</f>
        <v>0</v>
      </c>
      <c r="F71" s="6"/>
      <c r="G71" s="27"/>
      <c r="H71" s="14" t="s">
        <v>289</v>
      </c>
      <c r="I71" s="68" t="s">
        <v>30</v>
      </c>
      <c r="J71" s="67" t="s">
        <v>30</v>
      </c>
      <c r="K71" s="11">
        <f>IF(ISNA(VLOOKUP(LEFT(I71,1)&amp;"."&amp;J71,D_MG,2,FALSE)),0,VLOOKUP(LEFT(I71,1)&amp;"."&amp;J71,D_MG,2,FALSE))</f>
        <v>0</v>
      </c>
      <c r="L71" s="11">
        <f>IF(ISNA(VLOOKUP(LEFT(I71,1)&amp;"."&amp;J71,D_MG,3,FALSE)),0,VLOOKUP(LEFT(I71,1)&amp;"."&amp;J71,D_MG,3,FALSE))</f>
        <v>0</v>
      </c>
      <c r="M71" s="32"/>
      <c r="N71" s="31"/>
      <c r="O71" s="32"/>
      <c r="P71" s="32"/>
      <c r="Q71" s="32"/>
      <c r="R71" s="32"/>
      <c r="S71" s="32"/>
      <c r="T71" s="32"/>
      <c r="U71" s="32"/>
      <c r="V71" s="32"/>
      <c r="W71" s="32"/>
      <c r="X71" s="32"/>
      <c r="Y71" s="32"/>
      <c r="Z71" s="32"/>
      <c r="AA71" s="32"/>
      <c r="AB71" s="32"/>
      <c r="AC71" s="32"/>
      <c r="AD71" s="32"/>
    </row>
    <row r="72" spans="1:30" x14ac:dyDescent="0.25">
      <c r="A72" s="10" t="s">
        <v>37</v>
      </c>
      <c r="B72" s="68" t="s">
        <v>30</v>
      </c>
      <c r="C72" s="67" t="s">
        <v>30</v>
      </c>
      <c r="D72" s="11">
        <f>IF(ISNA(VLOOKUP(LEFT(B72,1)&amp;"."&amp;C72,D_Transport,2,FALSE)),0,VLOOKUP(LEFT(B72,1)&amp;"."&amp;C72,D_Transport,2,FALSE))</f>
        <v>0</v>
      </c>
      <c r="E72" s="11">
        <f>IF(ISNA(VLOOKUP((LEFT(B72,1)&amp;"."&amp;C72),D_Transport,3,FALSE)),0,VLOOKUP((LEFT(B72,1)&amp;"."&amp;C72),D_Transport,3,FALSE))</f>
        <v>0</v>
      </c>
      <c r="F72" s="6"/>
      <c r="G72" s="30"/>
      <c r="H72" s="10" t="s">
        <v>37</v>
      </c>
      <c r="I72" s="68" t="s">
        <v>30</v>
      </c>
      <c r="J72" s="67" t="s">
        <v>30</v>
      </c>
      <c r="K72" s="11">
        <f>IF(ISNA(VLOOKUP(LEFT(I72,1)&amp;"."&amp;J72,D_Transport,2,FALSE)),0,VLOOKUP(LEFT(I72,1)&amp;"."&amp;J72,D_Transport,2,FALSE))</f>
        <v>0</v>
      </c>
      <c r="L72" s="11">
        <f>IF(ISNA(VLOOKUP((LEFT(I72,1)&amp;"."&amp;J72),D_Transport,3,FALSE)),0,VLOOKUP((LEFT(I72,1)&amp;"."&amp;J72),D_Transport,3,FALSE))</f>
        <v>0</v>
      </c>
      <c r="M72" s="32"/>
      <c r="N72" s="31"/>
      <c r="O72" s="32"/>
      <c r="P72" s="32"/>
      <c r="Q72" s="32"/>
      <c r="R72" s="32"/>
      <c r="S72" s="32"/>
      <c r="T72" s="32"/>
      <c r="U72" s="32"/>
      <c r="V72" s="32"/>
      <c r="W72" s="32"/>
      <c r="X72" s="32"/>
      <c r="Y72" s="32"/>
      <c r="Z72" s="32"/>
      <c r="AA72" s="32"/>
      <c r="AB72" s="32"/>
      <c r="AC72" s="32"/>
      <c r="AD72" s="32"/>
    </row>
    <row r="73" spans="1:30" x14ac:dyDescent="0.25">
      <c r="A73" s="99" t="str">
        <f>IF(E72&gt;E71,"Cannot select Transport with no MMG","")</f>
        <v/>
      </c>
      <c r="B73" s="100"/>
      <c r="C73" s="101"/>
      <c r="D73" s="12">
        <f>SUM(D71:D72)</f>
        <v>0</v>
      </c>
      <c r="E73" s="11"/>
      <c r="F73" s="6"/>
      <c r="G73" s="27"/>
      <c r="H73" s="99" t="str">
        <f>IF(L72&gt;L71,"Cannot select Transport with no MMG","")</f>
        <v/>
      </c>
      <c r="I73" s="100"/>
      <c r="J73" s="101"/>
      <c r="K73" s="12">
        <f>SUM(K71:K72)</f>
        <v>0</v>
      </c>
      <c r="L73" s="11"/>
      <c r="M73" s="32"/>
      <c r="N73" s="31"/>
      <c r="O73" s="32"/>
      <c r="P73" s="32"/>
      <c r="Q73" s="32"/>
      <c r="R73" s="32"/>
      <c r="S73" s="32"/>
      <c r="T73" s="32"/>
      <c r="U73" s="32"/>
      <c r="V73" s="32"/>
      <c r="W73" s="32"/>
      <c r="X73" s="32"/>
      <c r="Y73" s="32"/>
      <c r="Z73" s="32"/>
      <c r="AA73" s="32"/>
      <c r="AB73" s="32"/>
      <c r="AC73" s="32"/>
      <c r="AD73" s="32"/>
    </row>
    <row r="74" spans="1:30" ht="5.0999999999999996" customHeight="1" x14ac:dyDescent="0.25">
      <c r="A74" s="29"/>
      <c r="B74" s="29"/>
      <c r="C74" s="28"/>
      <c r="D74" s="6"/>
      <c r="E74" s="6"/>
      <c r="F74" s="6"/>
      <c r="G74" s="27"/>
      <c r="H74" s="29"/>
      <c r="I74" s="29"/>
      <c r="J74" s="28"/>
      <c r="K74" s="6"/>
      <c r="L74" s="6"/>
      <c r="M74" s="32"/>
      <c r="N74" s="31"/>
      <c r="O74" s="32"/>
      <c r="P74" s="32"/>
      <c r="Q74" s="32"/>
      <c r="R74" s="32"/>
      <c r="S74" s="32"/>
      <c r="T74" s="32"/>
      <c r="U74" s="32"/>
      <c r="V74" s="32"/>
      <c r="W74" s="32"/>
      <c r="X74" s="32"/>
      <c r="Y74" s="32"/>
      <c r="Z74" s="32"/>
      <c r="AA74" s="32"/>
      <c r="AB74" s="32"/>
      <c r="AC74" s="32"/>
      <c r="AD74" s="32"/>
    </row>
    <row r="75" spans="1:30" x14ac:dyDescent="0.25">
      <c r="A75" s="14" t="s">
        <v>289</v>
      </c>
      <c r="B75" s="68" t="s">
        <v>30</v>
      </c>
      <c r="C75" s="67" t="s">
        <v>30</v>
      </c>
      <c r="D75" s="11">
        <f>IF(ISNA(VLOOKUP(LEFT(B75,1)&amp;"."&amp;C75,D_MG,2,FALSE)),0,VLOOKUP(LEFT(B75,1)&amp;"."&amp;C75,D_MG,2,FALSE))</f>
        <v>0</v>
      </c>
      <c r="E75" s="11">
        <f>IF(ISNA(VLOOKUP(LEFT(B75,1)&amp;"."&amp;C75,D_MG,3,FALSE)),0,VLOOKUP(LEFT(B75,1)&amp;"."&amp;C75,D_MG,3,FALSE))</f>
        <v>0</v>
      </c>
      <c r="F75" s="6"/>
      <c r="G75" s="27"/>
      <c r="H75" s="14" t="s">
        <v>289</v>
      </c>
      <c r="I75" s="68" t="s">
        <v>30</v>
      </c>
      <c r="J75" s="67" t="s">
        <v>30</v>
      </c>
      <c r="K75" s="11">
        <f>IF(ISNA(VLOOKUP(LEFT(I75,1)&amp;"."&amp;J75,D_MG,2,FALSE)),0,VLOOKUP(LEFT(I75,1)&amp;"."&amp;J75,D_MG,2,FALSE))</f>
        <v>0</v>
      </c>
      <c r="L75" s="11">
        <f>IF(ISNA(VLOOKUP(LEFT(I75,1)&amp;"."&amp;J75,D_MG,3,FALSE)),0,VLOOKUP(LEFT(I75,1)&amp;"."&amp;J75,D_MG,3,FALSE))</f>
        <v>0</v>
      </c>
      <c r="M75" s="32"/>
      <c r="N75" s="31"/>
      <c r="O75" s="32"/>
      <c r="P75" s="32"/>
      <c r="Q75" s="32"/>
      <c r="R75" s="32"/>
      <c r="S75" s="32"/>
      <c r="T75" s="32"/>
      <c r="U75" s="32"/>
      <c r="V75" s="32"/>
      <c r="W75" s="32"/>
      <c r="X75" s="32"/>
      <c r="Y75" s="32"/>
      <c r="Z75" s="32"/>
      <c r="AA75" s="32"/>
      <c r="AB75" s="32"/>
      <c r="AC75" s="32"/>
      <c r="AD75" s="32"/>
    </row>
    <row r="76" spans="1:30" x14ac:dyDescent="0.25">
      <c r="A76" s="10" t="s">
        <v>37</v>
      </c>
      <c r="B76" s="68" t="s">
        <v>30</v>
      </c>
      <c r="C76" s="67" t="s">
        <v>30</v>
      </c>
      <c r="D76" s="11">
        <f>IF(ISNA(VLOOKUP(LEFT(B76,1)&amp;"."&amp;C76,D_Transport,2,FALSE)),0,VLOOKUP(LEFT(B76,1)&amp;"."&amp;C76,D_Transport,2,FALSE))</f>
        <v>0</v>
      </c>
      <c r="E76" s="11">
        <f>IF(ISNA(VLOOKUP((LEFT(B76,1)&amp;"."&amp;C76),D_Transport,3,FALSE)),0,VLOOKUP((LEFT(B76,1)&amp;"."&amp;C76),D_Transport,3,FALSE))</f>
        <v>0</v>
      </c>
      <c r="F76" s="6"/>
      <c r="G76" s="30"/>
      <c r="H76" s="10" t="s">
        <v>37</v>
      </c>
      <c r="I76" s="68" t="s">
        <v>30</v>
      </c>
      <c r="J76" s="67" t="s">
        <v>30</v>
      </c>
      <c r="K76" s="11">
        <f>IF(ISNA(VLOOKUP(LEFT(I76,1)&amp;"."&amp;J76,D_Transport,2,FALSE)),0,VLOOKUP(LEFT(I76,1)&amp;"."&amp;J76,D_Transport,2,FALSE))</f>
        <v>0</v>
      </c>
      <c r="L76" s="11">
        <f>IF(ISNA(VLOOKUP((LEFT(I76,1)&amp;"."&amp;J76),D_Transport,3,FALSE)),0,VLOOKUP((LEFT(I76,1)&amp;"."&amp;J76),D_Transport,3,FALSE))</f>
        <v>0</v>
      </c>
      <c r="M76" s="32"/>
      <c r="N76" s="31"/>
      <c r="O76" s="32"/>
      <c r="P76" s="32"/>
      <c r="Q76" s="32"/>
      <c r="R76" s="32"/>
      <c r="S76" s="32"/>
      <c r="T76" s="32"/>
      <c r="U76" s="32"/>
      <c r="V76" s="32"/>
      <c r="W76" s="32"/>
      <c r="X76" s="32"/>
      <c r="Y76" s="32"/>
      <c r="Z76" s="32"/>
      <c r="AA76" s="32"/>
      <c r="AB76" s="32"/>
      <c r="AC76" s="32"/>
      <c r="AD76" s="32"/>
    </row>
    <row r="77" spans="1:30" x14ac:dyDescent="0.25">
      <c r="A77" s="99" t="str">
        <f>IF(E76&gt;E75,"Cannot select Transport with no MMG","")</f>
        <v/>
      </c>
      <c r="B77" s="100"/>
      <c r="C77" s="101"/>
      <c r="D77" s="12">
        <f>SUM(D75:D76)</f>
        <v>0</v>
      </c>
      <c r="E77" s="11"/>
      <c r="F77" s="6"/>
      <c r="G77" s="27"/>
      <c r="H77" s="99" t="str">
        <f>IF(L76&gt;L75,"Cannot select Transport with no MMG","")</f>
        <v/>
      </c>
      <c r="I77" s="100"/>
      <c r="J77" s="101"/>
      <c r="K77" s="12">
        <f>SUM(K75:K76)</f>
        <v>0</v>
      </c>
      <c r="L77" s="11"/>
      <c r="M77" s="32"/>
      <c r="N77" s="31"/>
      <c r="O77" s="32"/>
      <c r="P77" s="32"/>
      <c r="Q77" s="32"/>
      <c r="R77" s="32"/>
      <c r="S77" s="32"/>
      <c r="T77" s="32"/>
      <c r="U77" s="32"/>
      <c r="V77" s="32"/>
      <c r="W77" s="32"/>
      <c r="X77" s="32"/>
      <c r="Y77" s="32"/>
      <c r="Z77" s="32"/>
      <c r="AA77" s="32"/>
      <c r="AB77" s="32"/>
      <c r="AC77" s="32"/>
      <c r="AD77" s="32"/>
    </row>
    <row r="78" spans="1:30" ht="5.0999999999999996" customHeight="1" x14ac:dyDescent="0.25">
      <c r="A78" s="29"/>
      <c r="B78" s="29"/>
      <c r="C78" s="28"/>
      <c r="D78" s="6"/>
      <c r="E78" s="6"/>
      <c r="F78" s="6"/>
      <c r="G78" s="27"/>
      <c r="H78" s="29"/>
      <c r="I78" s="29"/>
      <c r="J78" s="28"/>
      <c r="K78" s="6"/>
      <c r="L78" s="6"/>
      <c r="M78" s="32"/>
      <c r="N78" s="31"/>
      <c r="O78" s="32"/>
      <c r="P78" s="32"/>
      <c r="Q78" s="32"/>
      <c r="R78" s="32"/>
      <c r="S78" s="32"/>
      <c r="T78" s="32"/>
      <c r="U78" s="32"/>
      <c r="V78" s="32"/>
      <c r="W78" s="32"/>
      <c r="X78" s="32"/>
      <c r="Y78" s="32"/>
      <c r="Z78" s="32"/>
      <c r="AA78" s="32"/>
      <c r="AB78" s="32"/>
      <c r="AC78" s="32"/>
      <c r="AD78" s="32"/>
    </row>
    <row r="79" spans="1:30" x14ac:dyDescent="0.25">
      <c r="A79" s="14" t="s">
        <v>289</v>
      </c>
      <c r="B79" s="68" t="s">
        <v>30</v>
      </c>
      <c r="C79" s="67" t="s">
        <v>30</v>
      </c>
      <c r="D79" s="11">
        <f>IF(ISNA(VLOOKUP(LEFT(B79,1)&amp;"."&amp;C79,D_MG,2,FALSE)),0,VLOOKUP(LEFT(B79,1)&amp;"."&amp;C79,D_MG,2,FALSE))</f>
        <v>0</v>
      </c>
      <c r="E79" s="11">
        <f>IF(ISNA(VLOOKUP(LEFT(B79,1)&amp;"."&amp;C79,D_MG,3,FALSE)),0,VLOOKUP(LEFT(B79,1)&amp;"."&amp;C79,D_MG,3,FALSE))</f>
        <v>0</v>
      </c>
      <c r="F79" s="6"/>
      <c r="G79" s="27"/>
      <c r="H79" s="14" t="s">
        <v>289</v>
      </c>
      <c r="I79" s="68" t="s">
        <v>30</v>
      </c>
      <c r="J79" s="67" t="s">
        <v>30</v>
      </c>
      <c r="K79" s="11">
        <f>IF(ISNA(VLOOKUP(LEFT(I79,1)&amp;"."&amp;J79,D_MG,2,FALSE)),0,VLOOKUP(LEFT(I79,1)&amp;"."&amp;J79,D_MG,2,FALSE))</f>
        <v>0</v>
      </c>
      <c r="L79" s="11">
        <f>IF(ISNA(VLOOKUP(LEFT(I79,1)&amp;"."&amp;J79,D_MG,3,FALSE)),0,VLOOKUP(LEFT(I79,1)&amp;"."&amp;J79,D_MG,3,FALSE))</f>
        <v>0</v>
      </c>
      <c r="M79" s="32"/>
      <c r="N79" s="31"/>
      <c r="O79" s="32"/>
      <c r="P79" s="32"/>
      <c r="Q79" s="32"/>
      <c r="R79" s="32"/>
      <c r="S79" s="32"/>
      <c r="T79" s="32"/>
      <c r="U79" s="32"/>
      <c r="V79" s="32"/>
      <c r="W79" s="32"/>
      <c r="X79" s="32"/>
      <c r="Y79" s="32"/>
      <c r="Z79" s="32"/>
      <c r="AA79" s="32"/>
      <c r="AB79" s="32"/>
      <c r="AC79" s="32"/>
      <c r="AD79" s="32"/>
    </row>
    <row r="80" spans="1:30" x14ac:dyDescent="0.25">
      <c r="A80" s="10" t="s">
        <v>37</v>
      </c>
      <c r="B80" s="68" t="s">
        <v>30</v>
      </c>
      <c r="C80" s="67" t="s">
        <v>30</v>
      </c>
      <c r="D80" s="11">
        <f>IF(ISNA(VLOOKUP(LEFT(B80,1)&amp;"."&amp;C80,D_Transport,2,FALSE)),0,VLOOKUP(LEFT(B80,1)&amp;"."&amp;C80,D_Transport,2,FALSE))</f>
        <v>0</v>
      </c>
      <c r="E80" s="11">
        <f>IF(ISNA(VLOOKUP((LEFT(B80,1)&amp;"."&amp;C80),D_Transport,3,FALSE)),0,VLOOKUP((LEFT(B80,1)&amp;"."&amp;C80),D_Transport,3,FALSE))</f>
        <v>0</v>
      </c>
      <c r="F80" s="6"/>
      <c r="G80" s="30"/>
      <c r="H80" s="10" t="s">
        <v>37</v>
      </c>
      <c r="I80" s="68" t="s">
        <v>30</v>
      </c>
      <c r="J80" s="67" t="s">
        <v>30</v>
      </c>
      <c r="K80" s="11">
        <f>IF(ISNA(VLOOKUP(LEFT(I80,1)&amp;"."&amp;J80,D_Transport,2,FALSE)),0,VLOOKUP(LEFT(I80,1)&amp;"."&amp;J80,D_Transport,2,FALSE))</f>
        <v>0</v>
      </c>
      <c r="L80" s="11">
        <f>IF(ISNA(VLOOKUP((LEFT(I80,1)&amp;"."&amp;J80),D_Transport,3,FALSE)),0,VLOOKUP((LEFT(I80,1)&amp;"."&amp;J80),D_Transport,3,FALSE))</f>
        <v>0</v>
      </c>
      <c r="M80" s="32"/>
      <c r="N80" s="31"/>
      <c r="O80" s="32"/>
      <c r="P80" s="32"/>
      <c r="Q80" s="32"/>
      <c r="R80" s="32"/>
      <c r="S80" s="32"/>
      <c r="T80" s="32"/>
      <c r="U80" s="32"/>
      <c r="V80" s="32"/>
      <c r="W80" s="32"/>
      <c r="X80" s="32"/>
      <c r="Y80" s="32"/>
      <c r="Z80" s="32"/>
      <c r="AA80" s="32"/>
      <c r="AB80" s="32"/>
      <c r="AC80" s="32"/>
      <c r="AD80" s="32"/>
    </row>
    <row r="81" spans="1:30" x14ac:dyDescent="0.25">
      <c r="A81" s="99" t="str">
        <f>IF(E80&gt;E79,"Cannot select Transport with no MMG","")</f>
        <v/>
      </c>
      <c r="B81" s="100"/>
      <c r="C81" s="101"/>
      <c r="D81" s="12">
        <f>SUM(D79:D80)</f>
        <v>0</v>
      </c>
      <c r="E81" s="11"/>
      <c r="F81" s="6"/>
      <c r="G81" s="27"/>
      <c r="H81" s="99" t="str">
        <f>IF(L80&gt;L79,"Cannot select Transport with no MMG","")</f>
        <v/>
      </c>
      <c r="I81" s="100"/>
      <c r="J81" s="101"/>
      <c r="K81" s="12">
        <f>SUM(K79:K80)</f>
        <v>0</v>
      </c>
      <c r="L81" s="11"/>
      <c r="M81" s="32"/>
      <c r="N81" s="31"/>
      <c r="O81" s="32"/>
      <c r="P81" s="32"/>
      <c r="Q81" s="32"/>
      <c r="R81" s="32"/>
      <c r="S81" s="32"/>
      <c r="T81" s="32"/>
      <c r="U81" s="32"/>
      <c r="V81" s="32"/>
      <c r="W81" s="32"/>
      <c r="X81" s="32"/>
      <c r="Y81" s="32"/>
      <c r="Z81" s="32"/>
      <c r="AA81" s="32"/>
      <c r="AB81" s="32"/>
      <c r="AC81" s="32"/>
      <c r="AD81" s="32"/>
    </row>
    <row r="82" spans="1:30" ht="5.0999999999999996" customHeight="1" x14ac:dyDescent="0.25">
      <c r="A82" s="29"/>
      <c r="B82" s="29"/>
      <c r="C82" s="28"/>
      <c r="D82" s="6"/>
      <c r="E82" s="6"/>
      <c r="F82" s="6"/>
      <c r="G82" s="27"/>
      <c r="H82" s="29"/>
      <c r="I82" s="29"/>
      <c r="J82" s="28"/>
      <c r="K82" s="6"/>
      <c r="L82" s="6"/>
      <c r="M82" s="32"/>
      <c r="N82" s="31"/>
      <c r="O82" s="32"/>
      <c r="P82" s="32"/>
      <c r="Q82" s="32"/>
      <c r="R82" s="32"/>
      <c r="S82" s="32"/>
      <c r="T82" s="32"/>
      <c r="U82" s="32"/>
      <c r="V82" s="32"/>
      <c r="W82" s="32"/>
      <c r="X82" s="32"/>
      <c r="Y82" s="32"/>
      <c r="Z82" s="32"/>
      <c r="AA82" s="32"/>
      <c r="AB82" s="32"/>
      <c r="AC82" s="32"/>
      <c r="AD82" s="32"/>
    </row>
    <row r="83" spans="1:30" x14ac:dyDescent="0.25">
      <c r="A83" s="14" t="s">
        <v>290</v>
      </c>
      <c r="B83" s="68" t="s">
        <v>30</v>
      </c>
      <c r="C83" s="67" t="s">
        <v>30</v>
      </c>
      <c r="D83" s="11">
        <f>IF(ISNA(VLOOKUP(LEFT(B83,1)&amp;"."&amp;C83,D_HMG,2,FALSE)),0,VLOOKUP(LEFT(B83,1)&amp;"."&amp;C83,D_HMG,2,FALSE))</f>
        <v>0</v>
      </c>
      <c r="E83" s="11">
        <f>IF(ISNA(VLOOKUP(LEFT(B83,1)&amp;"."&amp;C83,D_HMG,3,FALSE)),0,VLOOKUP(LEFT(B83,1)&amp;"."&amp;C83,D_HMG,3,FALSE))</f>
        <v>0</v>
      </c>
      <c r="F83" s="6"/>
      <c r="G83" s="27"/>
      <c r="H83" s="14" t="s">
        <v>290</v>
      </c>
      <c r="I83" s="68" t="s">
        <v>30</v>
      </c>
      <c r="J83" s="67" t="s">
        <v>30</v>
      </c>
      <c r="K83" s="11">
        <f>IF(ISNA(VLOOKUP(LEFT(I83,1)&amp;"."&amp;J83,D_HMG,2,FALSE)),0,VLOOKUP(LEFT(I83,1)&amp;"."&amp;J83,D_HMG,2,FALSE))</f>
        <v>0</v>
      </c>
      <c r="L83" s="11">
        <f>IF(ISNA(VLOOKUP(LEFT(I83,1)&amp;"."&amp;J83,D_HMG,3,FALSE)),0,VLOOKUP(LEFT(I83,1)&amp;"."&amp;J83,D_HMG,3,FALSE))</f>
        <v>0</v>
      </c>
      <c r="M83" s="32"/>
      <c r="N83" s="31"/>
      <c r="O83" s="32"/>
      <c r="P83" s="32"/>
      <c r="Q83" s="32"/>
      <c r="R83" s="32"/>
      <c r="S83" s="32"/>
      <c r="T83" s="32"/>
      <c r="U83" s="32"/>
      <c r="V83" s="32"/>
      <c r="W83" s="32"/>
      <c r="X83" s="32"/>
      <c r="Y83" s="32"/>
      <c r="Z83" s="32"/>
      <c r="AA83" s="32"/>
      <c r="AB83" s="32"/>
      <c r="AC83" s="32"/>
      <c r="AD83" s="32"/>
    </row>
    <row r="84" spans="1:30" x14ac:dyDescent="0.25">
      <c r="A84" s="10" t="s">
        <v>37</v>
      </c>
      <c r="B84" s="68" t="s">
        <v>30</v>
      </c>
      <c r="C84" s="67" t="s">
        <v>30</v>
      </c>
      <c r="D84" s="11">
        <f>IF(ISNA(VLOOKUP(LEFT(B84,1)&amp;"."&amp;C84,D_Transport,2,FALSE)),0,VLOOKUP(LEFT(B84,1)&amp;"."&amp;C84,D_Transport,2,FALSE))</f>
        <v>0</v>
      </c>
      <c r="E84" s="11">
        <f>IF(ISNA(VLOOKUP((LEFT(B84,1)&amp;"."&amp;C84),D_Transport,3,FALSE)),0,VLOOKUP((LEFT(B84,1)&amp;"."&amp;C84),D_Transport,3,FALSE))</f>
        <v>0</v>
      </c>
      <c r="F84" s="6"/>
      <c r="G84" s="30"/>
      <c r="H84" s="10" t="s">
        <v>37</v>
      </c>
      <c r="I84" s="68" t="s">
        <v>30</v>
      </c>
      <c r="J84" s="67" t="s">
        <v>30</v>
      </c>
      <c r="K84" s="11">
        <f>IF(ISNA(VLOOKUP(LEFT(I84,1)&amp;"."&amp;J84,D_Transport,2,FALSE)),0,VLOOKUP(LEFT(I84,1)&amp;"."&amp;J84,D_Transport,2,FALSE))</f>
        <v>0</v>
      </c>
      <c r="L84" s="11">
        <f>IF(ISNA(VLOOKUP((LEFT(I84,1)&amp;"."&amp;J84),D_Transport,3,FALSE)),0,VLOOKUP((LEFT(I84,1)&amp;"."&amp;J84),D_Transport,3,FALSE))</f>
        <v>0</v>
      </c>
      <c r="M84" s="32"/>
      <c r="N84" s="31"/>
      <c r="O84" s="32"/>
      <c r="P84" s="32"/>
      <c r="Q84" s="32"/>
      <c r="R84" s="32"/>
      <c r="S84" s="32"/>
      <c r="T84" s="32"/>
      <c r="U84" s="32"/>
      <c r="V84" s="32"/>
      <c r="W84" s="32"/>
      <c r="X84" s="32"/>
      <c r="Y84" s="32"/>
      <c r="Z84" s="32"/>
      <c r="AA84" s="32"/>
      <c r="AB84" s="32"/>
      <c r="AC84" s="32"/>
      <c r="AD84" s="32"/>
    </row>
    <row r="85" spans="1:30" x14ac:dyDescent="0.25">
      <c r="A85" s="99" t="str">
        <f>IF(E84&gt;E83,"Cannot select Transport with no HMG","")</f>
        <v/>
      </c>
      <c r="B85" s="100"/>
      <c r="C85" s="101"/>
      <c r="D85" s="12">
        <f>SUM(D83:D84)</f>
        <v>0</v>
      </c>
      <c r="E85" s="11"/>
      <c r="F85" s="6"/>
      <c r="G85" s="27"/>
      <c r="H85" s="99" t="str">
        <f>IF(L84&gt;L83,"Cannot select Transport with no MMG","")</f>
        <v/>
      </c>
      <c r="I85" s="100"/>
      <c r="J85" s="101"/>
      <c r="K85" s="12">
        <f>SUM(K83:K84)</f>
        <v>0</v>
      </c>
      <c r="L85" s="11"/>
      <c r="M85" s="32"/>
      <c r="N85" s="31"/>
      <c r="O85" s="32"/>
      <c r="P85" s="32"/>
      <c r="Q85" s="32"/>
      <c r="R85" s="32"/>
      <c r="S85" s="32"/>
      <c r="T85" s="32"/>
      <c r="U85" s="32"/>
      <c r="V85" s="32"/>
      <c r="W85" s="32"/>
      <c r="X85" s="32"/>
      <c r="Y85" s="32"/>
      <c r="Z85" s="32"/>
      <c r="AA85" s="32"/>
      <c r="AB85" s="32"/>
      <c r="AC85" s="32"/>
      <c r="AD85" s="32"/>
    </row>
    <row r="86" spans="1:30" ht="5.0999999999999996" customHeight="1" x14ac:dyDescent="0.25">
      <c r="A86" s="29"/>
      <c r="B86" s="29"/>
      <c r="C86" s="28"/>
      <c r="D86" s="6"/>
      <c r="E86" s="6"/>
      <c r="F86" s="6"/>
      <c r="G86" s="27"/>
      <c r="H86" s="29"/>
      <c r="I86" s="29"/>
      <c r="J86" s="28"/>
      <c r="K86" s="6"/>
      <c r="L86" s="6"/>
      <c r="M86" s="32"/>
      <c r="N86" s="31"/>
      <c r="O86" s="32"/>
      <c r="P86" s="32"/>
      <c r="Q86" s="32"/>
      <c r="R86" s="32"/>
      <c r="S86" s="32"/>
      <c r="T86" s="32"/>
      <c r="U86" s="32"/>
      <c r="V86" s="32"/>
      <c r="W86" s="32"/>
      <c r="X86" s="32"/>
      <c r="Y86" s="32"/>
      <c r="Z86" s="32"/>
      <c r="AA86" s="32"/>
      <c r="AB86" s="32"/>
      <c r="AC86" s="32"/>
      <c r="AD86" s="32"/>
    </row>
    <row r="87" spans="1:30" x14ac:dyDescent="0.25">
      <c r="A87" s="14" t="s">
        <v>305</v>
      </c>
      <c r="B87" s="68" t="s">
        <v>30</v>
      </c>
      <c r="C87" s="67" t="s">
        <v>30</v>
      </c>
      <c r="D87" s="78">
        <f>IF(ISNA(VLOOKUP(LEFT(B87,1)&amp;"."&amp;C87,D_Mortar,2,FALSE)),0,VLOOKUP(LEFT(B87,1)&amp;"."&amp;C87,D_Mortar,2,FALSE))</f>
        <v>0</v>
      </c>
      <c r="E87" s="11">
        <f>IF(ISNA(VLOOKUP(LEFT(B87,1)&amp;"."&amp;C87,D_Mortar,3,FALSE)),0,VLOOKUP(LEFT(B87,1)&amp;"."&amp;C87,D_Mortar,3,FALSE))</f>
        <v>0</v>
      </c>
      <c r="F87" s="6"/>
      <c r="G87" s="27"/>
      <c r="H87" s="14" t="s">
        <v>305</v>
      </c>
      <c r="I87" s="68" t="s">
        <v>30</v>
      </c>
      <c r="J87" s="67" t="s">
        <v>30</v>
      </c>
      <c r="K87" s="78">
        <f>IF(ISNA(VLOOKUP(LEFT(I87,1)&amp;"."&amp;J87,D_Mortar,2,FALSE)),0,VLOOKUP(LEFT(I87,1)&amp;"."&amp;J87,D_Mortar,2,FALSE))</f>
        <v>0</v>
      </c>
      <c r="L87" s="11">
        <f>IF(ISNA(VLOOKUP(LEFT(I87,1)&amp;"."&amp;J87,D_Mortar,3,FALSE)),0,VLOOKUP(LEFT(I87,1)&amp;"."&amp;J87,D_Mortar,3,FALSE))</f>
        <v>0</v>
      </c>
      <c r="M87" s="32"/>
      <c r="N87" s="31"/>
      <c r="O87" s="32"/>
      <c r="P87" s="32"/>
      <c r="Q87" s="32"/>
      <c r="R87" s="32"/>
      <c r="S87" s="32"/>
      <c r="T87" s="32"/>
      <c r="U87" s="32"/>
      <c r="V87" s="32"/>
      <c r="W87" s="32"/>
      <c r="X87" s="32"/>
      <c r="Y87" s="32"/>
      <c r="Z87" s="32"/>
      <c r="AA87" s="32"/>
      <c r="AB87" s="32"/>
      <c r="AC87" s="32"/>
      <c r="AD87" s="32"/>
    </row>
    <row r="88" spans="1:30" x14ac:dyDescent="0.25">
      <c r="A88" s="102" t="s">
        <v>44</v>
      </c>
      <c r="B88" s="103"/>
      <c r="C88" s="67" t="s">
        <v>30</v>
      </c>
      <c r="D88" s="78">
        <f>VLOOKUP(C88,D_Spotter,2,FALSE)</f>
        <v>0</v>
      </c>
      <c r="E88" s="11">
        <f>VLOOKUP(C88,D_Spotter,3,FALSE)</f>
        <v>0</v>
      </c>
      <c r="F88" s="6"/>
      <c r="G88" s="27"/>
      <c r="H88" s="102" t="s">
        <v>44</v>
      </c>
      <c r="I88" s="103"/>
      <c r="J88" s="67" t="s">
        <v>30</v>
      </c>
      <c r="K88" s="78">
        <f>VLOOKUP(J88,D_Spotter,2,FALSE)</f>
        <v>0</v>
      </c>
      <c r="L88" s="11">
        <f>VLOOKUP(J88,D_Spotter,3,FALSE)</f>
        <v>0</v>
      </c>
      <c r="M88" s="32"/>
      <c r="N88" s="31"/>
      <c r="O88" s="32"/>
      <c r="P88" s="32"/>
      <c r="Q88" s="32"/>
      <c r="R88" s="32"/>
      <c r="S88" s="32"/>
      <c r="T88" s="32"/>
      <c r="U88" s="32"/>
      <c r="V88" s="32"/>
      <c r="W88" s="32"/>
      <c r="X88" s="32"/>
      <c r="Y88" s="32"/>
      <c r="Z88" s="32"/>
      <c r="AA88" s="32"/>
      <c r="AB88" s="32"/>
      <c r="AC88" s="32"/>
      <c r="AD88" s="32"/>
    </row>
    <row r="89" spans="1:30" x14ac:dyDescent="0.25">
      <c r="A89" s="10" t="s">
        <v>37</v>
      </c>
      <c r="B89" s="68" t="s">
        <v>30</v>
      </c>
      <c r="C89" s="67" t="s">
        <v>30</v>
      </c>
      <c r="D89" s="78">
        <f>IF(ISNA(VLOOKUP(LEFT(B89,1)&amp;"."&amp;C89,D_Transport,2,FALSE)),0,VLOOKUP(LEFT(B89,1)&amp;"."&amp;C89,D_Transport,2,FALSE))</f>
        <v>0</v>
      </c>
      <c r="E89" s="11">
        <f>IF(ISNA(VLOOKUP((LEFT(B89,1)&amp;"."&amp;C89),D_Transport,3,FALSE)),0,VLOOKUP((LEFT(B89,1)&amp;"."&amp;C89),D_Transport,3,FALSE))</f>
        <v>0</v>
      </c>
      <c r="F89" s="6"/>
      <c r="G89" s="30"/>
      <c r="H89" s="10" t="s">
        <v>37</v>
      </c>
      <c r="I89" s="68" t="s">
        <v>30</v>
      </c>
      <c r="J89" s="67" t="s">
        <v>30</v>
      </c>
      <c r="K89" s="78">
        <f>IF(ISNA(VLOOKUP(LEFT(I89,1)&amp;"."&amp;J89,D_Transport,2,FALSE)),0,VLOOKUP(LEFT(I89,1)&amp;"."&amp;J89,D_Transport,2,FALSE))</f>
        <v>0</v>
      </c>
      <c r="L89" s="11">
        <f>IF(ISNA(VLOOKUP((LEFT(I89,1)&amp;"."&amp;J89),D_Transport,3,FALSE)),0,VLOOKUP((LEFT(I89,1)&amp;"."&amp;J89),D_Transport,3,FALSE))</f>
        <v>0</v>
      </c>
      <c r="M89" s="32"/>
      <c r="N89" s="31"/>
      <c r="O89" s="32"/>
      <c r="P89" s="32"/>
      <c r="Q89" s="32"/>
      <c r="R89" s="32"/>
      <c r="S89" s="32"/>
      <c r="T89" s="32"/>
      <c r="U89" s="32"/>
      <c r="V89" s="32"/>
      <c r="W89" s="32"/>
      <c r="X89" s="32"/>
      <c r="Y89" s="32"/>
      <c r="Z89" s="32"/>
      <c r="AA89" s="32"/>
      <c r="AB89" s="32"/>
      <c r="AC89" s="32"/>
      <c r="AD89" s="32"/>
    </row>
    <row r="90" spans="1:30" x14ac:dyDescent="0.25">
      <c r="A90" s="99" t="str">
        <f>IF(E88&gt;E87,"Cannot select Spotter if no Mortar selected",IF(E89&gt;E87,"Cannot select Transport with no Mortar",IF(AND(E88=1,C87="Light Mortar"),"Cannot select Spotter for Light Mortars","")))</f>
        <v/>
      </c>
      <c r="B90" s="100"/>
      <c r="C90" s="101"/>
      <c r="D90" s="79">
        <f>SUM(D87:D89)</f>
        <v>0</v>
      </c>
      <c r="E90" s="6"/>
      <c r="F90" s="6"/>
      <c r="G90" s="27"/>
      <c r="H90" s="99" t="str">
        <f>IF(L88&gt;L87,"Cannot select Spotter if no Mortar selected",IF(L89&gt;L87,"Cannot select Transport with no Mortar",IF(AND(L88=1,J87="Light Mortar"),"Cannot select Spotter for Light Mortars","")))</f>
        <v/>
      </c>
      <c r="I90" s="100"/>
      <c r="J90" s="101"/>
      <c r="K90" s="79">
        <f>SUM(K87:K89)</f>
        <v>0</v>
      </c>
      <c r="L90" s="6"/>
      <c r="M90" s="32"/>
      <c r="N90" s="31"/>
      <c r="O90" s="32"/>
      <c r="P90" s="32"/>
      <c r="Q90" s="32"/>
      <c r="R90" s="32"/>
      <c r="S90" s="32"/>
      <c r="T90" s="32"/>
      <c r="U90" s="32"/>
      <c r="V90" s="32"/>
      <c r="W90" s="32"/>
      <c r="X90" s="32"/>
      <c r="Y90" s="32"/>
      <c r="Z90" s="32"/>
      <c r="AA90" s="32"/>
      <c r="AB90" s="32"/>
      <c r="AC90" s="32"/>
      <c r="AD90" s="32"/>
    </row>
    <row r="91" spans="1:30" ht="5.0999999999999996" customHeight="1" x14ac:dyDescent="0.25">
      <c r="A91" s="5"/>
      <c r="B91" s="5"/>
      <c r="C91" s="28"/>
      <c r="D91" s="80"/>
      <c r="E91" s="6"/>
      <c r="F91" s="6"/>
      <c r="G91" s="27"/>
      <c r="H91" s="5"/>
      <c r="I91" s="5"/>
      <c r="J91" s="28"/>
      <c r="K91" s="80"/>
      <c r="L91" s="6"/>
      <c r="M91" s="32"/>
      <c r="N91" s="31"/>
      <c r="O91" s="32"/>
      <c r="P91" s="32"/>
      <c r="Q91" s="32"/>
      <c r="R91" s="32"/>
      <c r="S91" s="32"/>
      <c r="T91" s="32"/>
      <c r="U91" s="32"/>
      <c r="V91" s="32"/>
      <c r="W91" s="32"/>
      <c r="X91" s="32"/>
      <c r="Y91" s="32"/>
      <c r="Z91" s="32"/>
      <c r="AA91" s="32"/>
      <c r="AB91" s="32"/>
      <c r="AC91" s="32"/>
      <c r="AD91" s="32"/>
    </row>
    <row r="92" spans="1:30" x14ac:dyDescent="0.25">
      <c r="A92" s="14" t="s">
        <v>45</v>
      </c>
      <c r="B92" s="68" t="s">
        <v>30</v>
      </c>
      <c r="C92" s="67" t="s">
        <v>30</v>
      </c>
      <c r="D92" s="11">
        <f>IF(ISNA(VLOOKUP(LEFT(B92,1)&amp;"."&amp;C92,D_Sniper,2,FALSE)),0,VLOOKUP(LEFT(B92,1)&amp;"."&amp;C92,D_Sniper,2,FALSE))</f>
        <v>0</v>
      </c>
      <c r="E92" s="11">
        <f>IF(ISNA(VLOOKUP(LEFT(B92,1)&amp;"."&amp;C92,D_Sniper,3,FALSE)),0,VLOOKUP(LEFT(B92,1)&amp;"."&amp;C92,D_Sniper,3,FALSE))</f>
        <v>0</v>
      </c>
      <c r="F92" s="6"/>
      <c r="G92" s="27"/>
      <c r="H92" s="14" t="s">
        <v>45</v>
      </c>
      <c r="I92" s="68" t="s">
        <v>30</v>
      </c>
      <c r="J92" s="67" t="s">
        <v>30</v>
      </c>
      <c r="K92" s="11">
        <f>IF(ISNA(VLOOKUP(LEFT(I92,1)&amp;"."&amp;J92,D_Sniper,2,FALSE)),0,VLOOKUP(LEFT(I92,1)&amp;"."&amp;J92,D_Sniper,2,FALSE))</f>
        <v>0</v>
      </c>
      <c r="L92" s="11">
        <f>IF(ISNA(VLOOKUP(LEFT(I92,1)&amp;"."&amp;J92,D_Sniper,3,FALSE)),0,VLOOKUP(LEFT(I92,1)&amp;"."&amp;J92,D_Sniper,3,FALSE))</f>
        <v>0</v>
      </c>
      <c r="M92" s="32"/>
      <c r="N92" s="31"/>
      <c r="O92" s="32"/>
      <c r="P92" s="32"/>
      <c r="Q92" s="32"/>
      <c r="R92" s="32"/>
      <c r="S92" s="32"/>
      <c r="T92" s="32"/>
      <c r="U92" s="32"/>
      <c r="V92" s="32"/>
      <c r="W92" s="32"/>
      <c r="X92" s="32"/>
      <c r="Y92" s="32"/>
      <c r="Z92" s="32"/>
      <c r="AA92" s="32"/>
      <c r="AB92" s="32"/>
      <c r="AC92" s="32"/>
      <c r="AD92" s="32"/>
    </row>
    <row r="93" spans="1:30" x14ac:dyDescent="0.25">
      <c r="A93" s="10" t="s">
        <v>37</v>
      </c>
      <c r="B93" s="68" t="s">
        <v>30</v>
      </c>
      <c r="C93" s="67" t="s">
        <v>30</v>
      </c>
      <c r="D93" s="11">
        <f>IF(ISNA(VLOOKUP(LEFT(B93,1)&amp;"."&amp;C93,D_Transport,2,FALSE)),0,VLOOKUP(LEFT(B93,1)&amp;"."&amp;C93,D_Transport,2,FALSE))</f>
        <v>0</v>
      </c>
      <c r="E93" s="11">
        <f>IF(ISNA(VLOOKUP((LEFT(B93,1)&amp;"."&amp;C93),D_Transport,3,FALSE)),0,VLOOKUP((LEFT(B93,1)&amp;"."&amp;C93),D_Transport,3,FALSE))</f>
        <v>0</v>
      </c>
      <c r="F93" s="6"/>
      <c r="G93" s="30"/>
      <c r="H93" s="10" t="s">
        <v>37</v>
      </c>
      <c r="I93" s="68" t="s">
        <v>30</v>
      </c>
      <c r="J93" s="67" t="s">
        <v>30</v>
      </c>
      <c r="K93" s="11">
        <f>IF(ISNA(VLOOKUP(LEFT(I93,1)&amp;"."&amp;J93,D_Transport,2,FALSE)),0,VLOOKUP(LEFT(I93,1)&amp;"."&amp;J93,D_Transport,2,FALSE))</f>
        <v>0</v>
      </c>
      <c r="L93" s="11">
        <f>IF(ISNA(VLOOKUP((LEFT(I93,1)&amp;"."&amp;J93),D_Transport,3,FALSE)),0,VLOOKUP((LEFT(I93,1)&amp;"."&amp;J93),D_Transport,3,FALSE))</f>
        <v>0</v>
      </c>
      <c r="M93" s="32"/>
      <c r="N93" s="31"/>
      <c r="O93" s="32"/>
      <c r="P93" s="32"/>
      <c r="Q93" s="32"/>
      <c r="R93" s="32"/>
      <c r="S93" s="32"/>
      <c r="T93" s="32"/>
      <c r="U93" s="32"/>
      <c r="V93" s="32"/>
      <c r="W93" s="32"/>
      <c r="X93" s="32"/>
      <c r="Y93" s="32"/>
      <c r="Z93" s="32"/>
      <c r="AA93" s="32"/>
      <c r="AB93" s="32"/>
      <c r="AC93" s="32"/>
      <c r="AD93" s="32"/>
    </row>
    <row r="94" spans="1:30" x14ac:dyDescent="0.25">
      <c r="A94" s="99" t="str">
        <f>IF(E93&gt;E92,"Cannot select Transport if no Sniper selected","")</f>
        <v/>
      </c>
      <c r="B94" s="100"/>
      <c r="C94" s="101"/>
      <c r="D94" s="12">
        <f>SUM(D92:D93)</f>
        <v>0</v>
      </c>
      <c r="E94" s="6"/>
      <c r="F94" s="6"/>
      <c r="G94" s="27"/>
      <c r="H94" s="99" t="str">
        <f>IF(L93&gt;L92,"Cannot select Transport if no Sniper selected","")</f>
        <v/>
      </c>
      <c r="I94" s="100"/>
      <c r="J94" s="101"/>
      <c r="K94" s="12">
        <f>SUM(K92:K93)</f>
        <v>0</v>
      </c>
      <c r="L94" s="6"/>
      <c r="M94" s="32"/>
      <c r="N94" s="31"/>
      <c r="O94" s="32"/>
      <c r="P94" s="32"/>
      <c r="Q94" s="32"/>
      <c r="R94" s="32"/>
      <c r="S94" s="32"/>
      <c r="T94" s="32"/>
      <c r="U94" s="32"/>
      <c r="V94" s="32"/>
      <c r="W94" s="32"/>
      <c r="X94" s="32"/>
      <c r="Y94" s="32"/>
      <c r="Z94" s="32"/>
      <c r="AA94" s="32"/>
      <c r="AB94" s="32"/>
      <c r="AC94" s="32"/>
      <c r="AD94" s="32"/>
    </row>
    <row r="95" spans="1:30" ht="5.0999999999999996" customHeight="1" x14ac:dyDescent="0.25">
      <c r="A95" s="29"/>
      <c r="B95" s="29"/>
      <c r="C95" s="28"/>
      <c r="D95" s="6"/>
      <c r="E95" s="6"/>
      <c r="F95" s="6"/>
      <c r="G95" s="27"/>
      <c r="H95" s="29"/>
      <c r="I95" s="29"/>
      <c r="J95" s="28"/>
      <c r="K95" s="6"/>
      <c r="L95" s="6"/>
      <c r="M95" s="34"/>
      <c r="N95" s="31"/>
      <c r="O95" s="32"/>
      <c r="P95" s="32"/>
      <c r="Q95" s="32"/>
      <c r="R95" s="32"/>
      <c r="S95" s="32"/>
      <c r="T95" s="32"/>
      <c r="U95" s="32"/>
      <c r="V95" s="32"/>
      <c r="W95" s="32"/>
      <c r="X95" s="32"/>
      <c r="Y95" s="32"/>
      <c r="Z95" s="32"/>
      <c r="AA95" s="32"/>
      <c r="AB95" s="32"/>
      <c r="AC95" s="32"/>
      <c r="AD95" s="32"/>
    </row>
    <row r="96" spans="1:30" x14ac:dyDescent="0.25">
      <c r="A96" s="14" t="s">
        <v>56</v>
      </c>
      <c r="B96" s="68" t="s">
        <v>30</v>
      </c>
      <c r="C96" s="67" t="s">
        <v>30</v>
      </c>
      <c r="D96" s="11">
        <f>IF(ISNA(VLOOKUP(LEFT(B96,1)&amp;"."&amp;C96,D_Flamethrower,2,FALSE)),0,VLOOKUP(LEFT(B96,1)&amp;"."&amp;C96,D_Flamethrower,2,FALSE))</f>
        <v>0</v>
      </c>
      <c r="E96" s="11">
        <f>IF(ISNA(VLOOKUP(LEFT(B96,1)&amp;"."&amp;C96,D_Flamethrower,3,FALSE)),0,VLOOKUP(LEFT(B96,1)&amp;"."&amp;C96,D_Flamethrower,3,FALSE))</f>
        <v>0</v>
      </c>
      <c r="F96" s="6"/>
      <c r="G96" s="27"/>
      <c r="H96" s="14" t="s">
        <v>56</v>
      </c>
      <c r="I96" s="68" t="s">
        <v>30</v>
      </c>
      <c r="J96" s="67" t="s">
        <v>30</v>
      </c>
      <c r="K96" s="11">
        <f>IF(ISNA(VLOOKUP(LEFT(I96,1)&amp;"."&amp;J96,D_Flamethrower,2,FALSE)),0,VLOOKUP(LEFT(I96,1)&amp;"."&amp;J96,D_Flamethrower,2,FALSE))</f>
        <v>0</v>
      </c>
      <c r="L96" s="11">
        <f>IF(ISNA(VLOOKUP(LEFT(I96,1)&amp;"."&amp;J96,D_Flamethrower,3,FALSE)),0,VLOOKUP(LEFT(I96,1)&amp;"."&amp;J96,D_Flamethrower,3,FALSE))</f>
        <v>0</v>
      </c>
      <c r="M96" s="32"/>
      <c r="N96" s="31"/>
      <c r="O96" s="32"/>
      <c r="P96" s="32"/>
      <c r="Q96" s="32"/>
      <c r="R96" s="32"/>
      <c r="S96" s="32"/>
      <c r="T96" s="32"/>
      <c r="U96" s="32"/>
      <c r="V96" s="32"/>
      <c r="W96" s="32"/>
      <c r="X96" s="32"/>
      <c r="Y96" s="32"/>
      <c r="Z96" s="32"/>
      <c r="AA96" s="32"/>
      <c r="AB96" s="32"/>
      <c r="AC96" s="32"/>
      <c r="AD96" s="32"/>
    </row>
    <row r="97" spans="1:30" x14ac:dyDescent="0.25">
      <c r="A97" s="10" t="s">
        <v>37</v>
      </c>
      <c r="B97" s="68" t="s">
        <v>30</v>
      </c>
      <c r="C97" s="67" t="s">
        <v>30</v>
      </c>
      <c r="D97" s="11">
        <f>IF(ISNA(VLOOKUP(LEFT(B97,1)&amp;"."&amp;C97,D_Transport,2,FALSE)),0,VLOOKUP(LEFT(B97,1)&amp;"."&amp;C97,D_Transport,2,FALSE))</f>
        <v>0</v>
      </c>
      <c r="E97" s="11">
        <f>IF(ISNA(VLOOKUP((LEFT(B97,1)&amp;"."&amp;C97),D_Transport,3,FALSE)),0,VLOOKUP((LEFT(B97,1)&amp;"."&amp;C97),D_Transport,3,FALSE))</f>
        <v>0</v>
      </c>
      <c r="F97" s="6"/>
      <c r="G97" s="30"/>
      <c r="H97" s="10" t="s">
        <v>37</v>
      </c>
      <c r="I97" s="68" t="s">
        <v>30</v>
      </c>
      <c r="J97" s="67" t="s">
        <v>30</v>
      </c>
      <c r="K97" s="11">
        <f>IF(ISNA(VLOOKUP(LEFT(I97,1)&amp;"."&amp;J97,D_Transport,2,FALSE)),0,VLOOKUP(LEFT(I97,1)&amp;"."&amp;J97,D_Transport,2,FALSE))</f>
        <v>0</v>
      </c>
      <c r="L97" s="11">
        <f>IF(ISNA(VLOOKUP((LEFT(I97,1)&amp;"."&amp;J97),D_Transport,3,FALSE)),0,VLOOKUP((LEFT(I97,1)&amp;"."&amp;J97),D_Transport,3,FALSE))</f>
        <v>0</v>
      </c>
      <c r="M97" s="32"/>
      <c r="N97" s="31"/>
      <c r="O97" s="32"/>
      <c r="P97" s="32"/>
      <c r="Q97" s="32"/>
      <c r="R97" s="32"/>
      <c r="S97" s="32"/>
      <c r="T97" s="32"/>
      <c r="U97" s="32"/>
      <c r="V97" s="32"/>
      <c r="W97" s="32"/>
      <c r="X97" s="32"/>
      <c r="Y97" s="32"/>
      <c r="Z97" s="32"/>
      <c r="AA97" s="32"/>
      <c r="AB97" s="32"/>
      <c r="AC97" s="32"/>
      <c r="AD97" s="32"/>
    </row>
    <row r="98" spans="1:30" x14ac:dyDescent="0.25">
      <c r="A98" s="99" t="str">
        <f>IF(E97&gt;E96,"Cannot select Transport if no Flamethrower selected","")</f>
        <v/>
      </c>
      <c r="B98" s="100"/>
      <c r="C98" s="101"/>
      <c r="D98" s="12">
        <f>SUM(D96:D97)</f>
        <v>0</v>
      </c>
      <c r="E98" s="6"/>
      <c r="F98" s="6"/>
      <c r="G98" s="27"/>
      <c r="H98" s="99" t="str">
        <f>IF(L97&gt;L96,"Cannot select Transport if no Flamethrower selected","")</f>
        <v/>
      </c>
      <c r="I98" s="100"/>
      <c r="J98" s="101"/>
      <c r="K98" s="12">
        <f>SUM(K96:K97)</f>
        <v>0</v>
      </c>
      <c r="L98" s="6"/>
      <c r="M98" s="32"/>
      <c r="N98" s="31"/>
      <c r="O98" s="32"/>
      <c r="P98" s="32"/>
      <c r="Q98" s="32"/>
      <c r="R98" s="32"/>
      <c r="S98" s="32"/>
      <c r="T98" s="32"/>
      <c r="U98" s="32"/>
      <c r="V98" s="32"/>
      <c r="W98" s="32"/>
      <c r="X98" s="32"/>
      <c r="Y98" s="32"/>
      <c r="Z98" s="32"/>
      <c r="AA98" s="32"/>
      <c r="AB98" s="32"/>
      <c r="AC98" s="32"/>
      <c r="AD98" s="32"/>
    </row>
    <row r="99" spans="1:30" s="17" customFormat="1" ht="5.0999999999999996" customHeight="1" x14ac:dyDescent="0.25">
      <c r="A99" s="29"/>
      <c r="B99" s="29"/>
      <c r="C99" s="28"/>
      <c r="D99" s="6"/>
      <c r="E99" s="6"/>
      <c r="F99" s="6"/>
      <c r="G99" s="27"/>
      <c r="H99" s="29"/>
      <c r="I99" s="29"/>
      <c r="J99" s="28"/>
      <c r="K99" s="6"/>
      <c r="L99" s="6"/>
      <c r="M99" s="34"/>
      <c r="N99" s="35"/>
      <c r="O99" s="34"/>
      <c r="P99" s="34"/>
      <c r="Q99" s="34"/>
      <c r="R99" s="34"/>
      <c r="S99" s="34"/>
      <c r="T99" s="34"/>
      <c r="U99" s="34"/>
      <c r="V99" s="34"/>
      <c r="W99" s="34"/>
      <c r="X99" s="34"/>
      <c r="Y99" s="34"/>
      <c r="Z99" s="34"/>
      <c r="AA99" s="34"/>
      <c r="AB99" s="34"/>
      <c r="AC99" s="34"/>
      <c r="AD99" s="34"/>
    </row>
    <row r="100" spans="1:30" x14ac:dyDescent="0.25">
      <c r="A100" s="14" t="s">
        <v>46</v>
      </c>
      <c r="B100" s="68" t="s">
        <v>30</v>
      </c>
      <c r="C100" s="67" t="s">
        <v>30</v>
      </c>
      <c r="D100" s="11">
        <f>IF(ISNA(VLOOKUP(LEFT(B100,1)&amp;"."&amp;C100,D_AntiTank,2,FALSE)),0,VLOOKUP(LEFT(B100,1)&amp;"."&amp;C100,D_AntiTank,2,FALSE))</f>
        <v>0</v>
      </c>
      <c r="E100" s="11">
        <f>IF(ISNA(VLOOKUP(LEFT(B100,1)&amp;"."&amp;C100,D_AntiTank,3,FALSE)),0,VLOOKUP(LEFT(B100,1)&amp;"."&amp;C100,D_AntiTank,3,FALSE))</f>
        <v>0</v>
      </c>
      <c r="F100" s="6"/>
      <c r="G100" s="27"/>
      <c r="H100" s="14" t="s">
        <v>46</v>
      </c>
      <c r="I100" s="68" t="s">
        <v>30</v>
      </c>
      <c r="J100" s="67" t="s">
        <v>30</v>
      </c>
      <c r="K100" s="11">
        <f>IF(ISNA(VLOOKUP(LEFT(I100,1)&amp;"."&amp;J100,D_AntiTank,2,FALSE)),0,VLOOKUP(LEFT(I100,1)&amp;"."&amp;J100,D_AntiTank,2,FALSE))</f>
        <v>0</v>
      </c>
      <c r="L100" s="11">
        <f>IF(ISNA(VLOOKUP(LEFT(I100,1)&amp;"."&amp;J100,D_AntiTank,3,FALSE)),0,VLOOKUP(LEFT(I100,1)&amp;"."&amp;J100,D_AntiTank,3,FALSE))</f>
        <v>0</v>
      </c>
      <c r="M100" s="32"/>
      <c r="N100" s="31"/>
      <c r="O100" s="32"/>
      <c r="P100" s="32"/>
      <c r="Q100" s="32"/>
      <c r="R100" s="32"/>
      <c r="S100" s="32"/>
      <c r="T100" s="32"/>
      <c r="U100" s="32"/>
      <c r="V100" s="32"/>
      <c r="W100" s="32"/>
      <c r="X100" s="32"/>
      <c r="Y100" s="32"/>
      <c r="Z100" s="32"/>
      <c r="AA100" s="32"/>
      <c r="AB100" s="32"/>
      <c r="AC100" s="32"/>
      <c r="AD100" s="32"/>
    </row>
    <row r="101" spans="1:30" x14ac:dyDescent="0.25">
      <c r="A101" s="10" t="s">
        <v>37</v>
      </c>
      <c r="B101" s="68" t="s">
        <v>30</v>
      </c>
      <c r="C101" s="67" t="s">
        <v>30</v>
      </c>
      <c r="D101" s="11">
        <f>IF(ISNA(VLOOKUP(LEFT(B101,1)&amp;"."&amp;C101,D_Transport,2,FALSE)),0,VLOOKUP(LEFT(B101,1)&amp;"."&amp;C101,D_Transport,2,FALSE))</f>
        <v>0</v>
      </c>
      <c r="E101" s="11">
        <f>IF(ISNA(VLOOKUP((LEFT(B101,1)&amp;"."&amp;C101),D_Transport,3,FALSE)),0,VLOOKUP((LEFT(B101,1)&amp;"."&amp;C101),D_Transport,3,FALSE))</f>
        <v>0</v>
      </c>
      <c r="F101" s="38"/>
      <c r="G101" s="30"/>
      <c r="H101" s="10" t="s">
        <v>37</v>
      </c>
      <c r="I101" s="68" t="s">
        <v>30</v>
      </c>
      <c r="J101" s="67" t="s">
        <v>30</v>
      </c>
      <c r="K101" s="11">
        <f>IF(ISNA(VLOOKUP(LEFT(I101,1)&amp;"."&amp;J101,D_Transport,2,FALSE)),0,VLOOKUP(LEFT(I101,1)&amp;"."&amp;J101,D_Transport,2,FALSE))</f>
        <v>0</v>
      </c>
      <c r="L101" s="11">
        <f>IF(ISNA(VLOOKUP((LEFT(I101,1)&amp;"."&amp;J101),D_Transport,3,FALSE)),0,VLOOKUP((LEFT(I101,1)&amp;"."&amp;J101),D_Transport,3,FALSE))</f>
        <v>0</v>
      </c>
      <c r="M101" s="32"/>
      <c r="N101" s="31"/>
      <c r="O101" s="32"/>
      <c r="P101" s="32"/>
      <c r="Q101" s="32"/>
      <c r="R101" s="32"/>
      <c r="S101" s="32"/>
      <c r="T101" s="32"/>
      <c r="U101" s="32"/>
      <c r="V101" s="32"/>
      <c r="W101" s="32"/>
      <c r="X101" s="32"/>
      <c r="Y101" s="32"/>
      <c r="Z101" s="32"/>
      <c r="AA101" s="32"/>
      <c r="AB101" s="32"/>
      <c r="AC101" s="32"/>
      <c r="AD101" s="32"/>
    </row>
    <row r="102" spans="1:30" x14ac:dyDescent="0.25">
      <c r="A102" s="99" t="str">
        <f>IF(E101&gt;E100,"Cannot select Transport if no Anti-Tank selected","")</f>
        <v/>
      </c>
      <c r="B102" s="100"/>
      <c r="C102" s="101"/>
      <c r="D102" s="12">
        <f>SUM(D100:D101)</f>
        <v>0</v>
      </c>
      <c r="E102" s="6"/>
      <c r="F102" s="6"/>
      <c r="G102" s="27"/>
      <c r="H102" s="99" t="str">
        <f>IF(L101&gt;L100,"Cannot select Transport if no Anti-Tank selected","")</f>
        <v/>
      </c>
      <c r="I102" s="100"/>
      <c r="J102" s="101"/>
      <c r="K102" s="12">
        <f>SUM(K100:K101)</f>
        <v>0</v>
      </c>
      <c r="L102" s="6"/>
      <c r="M102" s="32"/>
      <c r="N102" s="31"/>
      <c r="O102" s="32"/>
      <c r="P102" s="32"/>
      <c r="Q102" s="32"/>
      <c r="R102" s="32"/>
      <c r="S102" s="32"/>
      <c r="T102" s="32"/>
      <c r="U102" s="32"/>
      <c r="V102" s="32"/>
      <c r="W102" s="32"/>
      <c r="X102" s="32"/>
      <c r="Y102" s="32"/>
      <c r="Z102" s="32"/>
      <c r="AA102" s="32"/>
      <c r="AB102" s="32"/>
      <c r="AC102" s="32"/>
      <c r="AD102" s="32"/>
    </row>
    <row r="103" spans="1:30" s="17" customFormat="1" ht="5.0999999999999996" customHeight="1" x14ac:dyDescent="0.25">
      <c r="A103" s="29"/>
      <c r="B103" s="29"/>
      <c r="C103" s="28"/>
      <c r="D103" s="6"/>
      <c r="E103" s="6"/>
      <c r="F103" s="6"/>
      <c r="G103" s="27"/>
      <c r="H103" s="29"/>
      <c r="I103" s="29"/>
      <c r="J103" s="28"/>
      <c r="K103" s="6"/>
      <c r="L103" s="6"/>
      <c r="M103" s="34"/>
      <c r="N103" s="35"/>
      <c r="O103" s="34"/>
      <c r="P103" s="34"/>
      <c r="Q103" s="34"/>
      <c r="R103" s="34"/>
      <c r="S103" s="34"/>
      <c r="T103" s="34"/>
      <c r="U103" s="34"/>
      <c r="V103" s="34"/>
      <c r="W103" s="34"/>
      <c r="X103" s="34"/>
      <c r="Y103" s="34"/>
      <c r="Z103" s="34"/>
      <c r="AA103" s="34"/>
      <c r="AB103" s="34"/>
      <c r="AC103" s="34"/>
      <c r="AD103" s="34"/>
    </row>
    <row r="104" spans="1:30" x14ac:dyDescent="0.25">
      <c r="A104" s="14" t="s">
        <v>47</v>
      </c>
      <c r="B104" s="68" t="s">
        <v>30</v>
      </c>
      <c r="C104" s="67" t="s">
        <v>30</v>
      </c>
      <c r="D104" s="11">
        <f>IF(ISNA(VLOOKUP(LEFT(B104,1)&amp;"."&amp;C104,D_BigGun,2,FALSE)),0,VLOOKUP(LEFT(B104,1)&amp;"."&amp;C104,D_BigGun,2,FALSE))</f>
        <v>0</v>
      </c>
      <c r="E104" s="11">
        <f>IF(ISNA(VLOOKUP(LEFT(B104,1)&amp;"."&amp;C104,D_BigGun,3,FALSE)),0,VLOOKUP(LEFT(B104,1)&amp;"."&amp;C104,D_BigGun,3,FALSE))</f>
        <v>0</v>
      </c>
      <c r="F104" s="6"/>
      <c r="G104" s="27"/>
      <c r="H104" s="14" t="s">
        <v>47</v>
      </c>
      <c r="I104" s="68" t="s">
        <v>30</v>
      </c>
      <c r="J104" s="67" t="s">
        <v>30</v>
      </c>
      <c r="K104" s="11">
        <f>IF(ISNA(VLOOKUP(LEFT(I104,1)&amp;"."&amp;J104,D_BigGun,2,FALSE)),0,VLOOKUP(LEFT(I104,1)&amp;"."&amp;J104,D_BigGun,2,FALSE))</f>
        <v>0</v>
      </c>
      <c r="L104" s="11">
        <f>IF(ISNA(VLOOKUP(LEFT(I104,1)&amp;"."&amp;J104,D_BigGun,3,FALSE)),0,VLOOKUP(LEFT(I104,1)&amp;"."&amp;J104,D_BigGun,3,FALSE))</f>
        <v>0</v>
      </c>
      <c r="M104" s="32"/>
      <c r="N104" s="31"/>
      <c r="O104" s="32"/>
      <c r="P104" s="32"/>
      <c r="Q104" s="32"/>
      <c r="R104" s="32"/>
      <c r="S104" s="32"/>
      <c r="T104" s="32"/>
      <c r="U104" s="32"/>
      <c r="V104" s="32"/>
      <c r="W104" s="32"/>
      <c r="X104" s="32"/>
      <c r="Y104" s="32"/>
      <c r="Z104" s="32"/>
      <c r="AA104" s="32"/>
      <c r="AB104" s="32"/>
      <c r="AC104" s="32"/>
      <c r="AD104" s="32"/>
    </row>
    <row r="105" spans="1:30" x14ac:dyDescent="0.25">
      <c r="A105" s="102" t="s">
        <v>44</v>
      </c>
      <c r="B105" s="103"/>
      <c r="C105" s="67" t="s">
        <v>30</v>
      </c>
      <c r="D105" s="11">
        <f>VLOOKUP(C105,D_Spotter,2,FALSE)</f>
        <v>0</v>
      </c>
      <c r="E105" s="11">
        <f>VLOOKUP(C105,D_Spotter,3,FALSE)</f>
        <v>0</v>
      </c>
      <c r="F105" s="6"/>
      <c r="G105" s="27"/>
      <c r="H105" s="102" t="s">
        <v>44</v>
      </c>
      <c r="I105" s="103"/>
      <c r="J105" s="67" t="s">
        <v>30</v>
      </c>
      <c r="K105" s="11">
        <f>VLOOKUP(J105,D_Spotter,2,FALSE)</f>
        <v>0</v>
      </c>
      <c r="L105" s="11">
        <f>VLOOKUP(J105,D_Spotter,3,FALSE)</f>
        <v>0</v>
      </c>
      <c r="M105" s="32"/>
      <c r="N105" s="31"/>
      <c r="O105" s="32"/>
      <c r="P105" s="32"/>
      <c r="Q105" s="32"/>
      <c r="R105" s="32"/>
      <c r="S105" s="32"/>
      <c r="T105" s="32"/>
      <c r="U105" s="32"/>
      <c r="V105" s="32"/>
      <c r="W105" s="32"/>
      <c r="X105" s="32"/>
      <c r="Y105" s="32"/>
      <c r="Z105" s="32"/>
      <c r="AA105" s="32"/>
      <c r="AB105" s="32"/>
      <c r="AC105" s="32"/>
      <c r="AD105" s="32"/>
    </row>
    <row r="106" spans="1:30" x14ac:dyDescent="0.25">
      <c r="A106" s="10" t="s">
        <v>37</v>
      </c>
      <c r="B106" s="68" t="s">
        <v>30</v>
      </c>
      <c r="C106" s="67" t="s">
        <v>30</v>
      </c>
      <c r="D106" s="11">
        <f>IF(ISNA(VLOOKUP(LEFT(B106,1)&amp;"."&amp;C106,D_Transport,2,FALSE)),0,VLOOKUP(LEFT(B106,1)&amp;"."&amp;C106,D_Transport,2,FALSE))</f>
        <v>0</v>
      </c>
      <c r="E106" s="11">
        <f>IF(ISNA(VLOOKUP((LEFT(B106,1)&amp;"."&amp;C106),D_Transport,3,FALSE)),0,VLOOKUP((LEFT(B106,1)&amp;"."&amp;C106),D_Transport,3,FALSE))</f>
        <v>0</v>
      </c>
      <c r="F106" s="38"/>
      <c r="G106" s="30"/>
      <c r="H106" s="10" t="s">
        <v>37</v>
      </c>
      <c r="I106" s="68" t="s">
        <v>30</v>
      </c>
      <c r="J106" s="67" t="s">
        <v>30</v>
      </c>
      <c r="K106" s="11">
        <f>IF(ISNA(VLOOKUP(LEFT(I106,1)&amp;"."&amp;J106,D_Transport,2,FALSE)),0,VLOOKUP(LEFT(I106,1)&amp;"."&amp;J106,D_Transport,2,FALSE))</f>
        <v>0</v>
      </c>
      <c r="L106" s="11">
        <f>IF(ISNA(VLOOKUP((LEFT(I106,1)&amp;"."&amp;J106),D_Transport,3,FALSE)),0,VLOOKUP((LEFT(I106,1)&amp;"."&amp;J106),D_Transport,3,FALSE))</f>
        <v>0</v>
      </c>
      <c r="M106" s="32"/>
      <c r="N106" s="31"/>
      <c r="O106" s="32"/>
      <c r="P106" s="32"/>
      <c r="Q106" s="32"/>
      <c r="R106" s="32"/>
      <c r="S106" s="32"/>
      <c r="T106" s="32"/>
      <c r="U106" s="32"/>
      <c r="V106" s="32"/>
      <c r="W106" s="32"/>
      <c r="X106" s="32"/>
      <c r="Y106" s="32"/>
      <c r="Z106" s="32"/>
      <c r="AA106" s="32"/>
      <c r="AB106" s="32"/>
      <c r="AC106" s="32"/>
      <c r="AD106" s="32"/>
    </row>
    <row r="107" spans="1:30" x14ac:dyDescent="0.25">
      <c r="A107" s="73" t="str">
        <f>IF(E105&gt;E104,"Cannot select Spotter if no Big Gun selected",IF(E106&gt;E104,"Cannot select Transport with no Big Gun",IF(AND(E105=1,AND(C104&lt;&gt;"Medium Artillery",C104&lt;&gt;"Heavy Artillery")),"Can only select Spotter for Medium/Heavy Artillery","")))</f>
        <v/>
      </c>
      <c r="B107" s="74"/>
      <c r="C107" s="75"/>
      <c r="D107" s="12">
        <f>SUM(D104:D106)</f>
        <v>0</v>
      </c>
      <c r="E107" s="6"/>
      <c r="F107" s="6"/>
      <c r="G107" s="27"/>
      <c r="H107" s="76" t="str">
        <f>IF(L105&gt;L104,"Cannot select Spotter if no Big Gun selected",IF(L106&gt;L104,"Cannot select Transport with no Big Gun",IF(AND(L105=1,AND(J104&lt;&gt;"Medium Artillery",J104&lt;&gt;"Heavy Artillery")),"Can only select Spotter for Medium/Heavy Artillery","")))</f>
        <v/>
      </c>
      <c r="I107" s="74"/>
      <c r="J107" s="75"/>
      <c r="K107" s="12">
        <f>SUM(K104:K106)</f>
        <v>0</v>
      </c>
      <c r="L107" s="6"/>
      <c r="M107" s="32"/>
      <c r="N107" s="31"/>
      <c r="O107" s="32"/>
      <c r="P107" s="32"/>
      <c r="Q107" s="32"/>
      <c r="R107" s="32"/>
      <c r="S107" s="32"/>
      <c r="T107" s="32"/>
      <c r="U107" s="32"/>
      <c r="V107" s="32"/>
      <c r="W107" s="32"/>
      <c r="X107" s="32"/>
      <c r="Y107" s="32"/>
      <c r="Z107" s="32"/>
      <c r="AA107" s="32"/>
      <c r="AB107" s="32"/>
      <c r="AC107" s="32"/>
      <c r="AD107" s="32"/>
    </row>
    <row r="108" spans="1:30" s="17" customFormat="1" ht="5.0999999999999996" customHeight="1" x14ac:dyDescent="0.25">
      <c r="A108" s="29"/>
      <c r="B108" s="29"/>
      <c r="C108" s="28"/>
      <c r="D108" s="6"/>
      <c r="E108" s="6"/>
      <c r="F108" s="6"/>
      <c r="G108" s="27"/>
      <c r="H108" s="29"/>
      <c r="I108" s="29"/>
      <c r="J108" s="28"/>
      <c r="K108" s="6"/>
      <c r="L108" s="6"/>
      <c r="M108" s="34"/>
      <c r="N108" s="35"/>
      <c r="O108" s="34"/>
      <c r="P108" s="34"/>
      <c r="Q108" s="34"/>
      <c r="R108" s="34"/>
      <c r="S108" s="34"/>
      <c r="T108" s="34"/>
      <c r="U108" s="34"/>
      <c r="V108" s="34"/>
      <c r="W108" s="34"/>
      <c r="X108" s="34"/>
      <c r="Y108" s="34"/>
      <c r="Z108" s="34"/>
      <c r="AA108" s="34"/>
      <c r="AB108" s="34"/>
      <c r="AC108" s="34"/>
      <c r="AD108" s="34"/>
    </row>
    <row r="109" spans="1:30" x14ac:dyDescent="0.25">
      <c r="A109" s="14" t="s">
        <v>48</v>
      </c>
      <c r="B109" s="68" t="s">
        <v>30</v>
      </c>
      <c r="C109" s="67" t="s">
        <v>30</v>
      </c>
      <c r="D109" s="12">
        <f>IF(ISNA(VLOOKUP(LEFT(B109,1)&amp;"."&amp;C109,D_ACar,2,FALSE)),0,VLOOKUP(LEFT(B109,1)&amp;"."&amp;C109,D_ACar,2,FALSE))</f>
        <v>0</v>
      </c>
      <c r="E109" s="11">
        <f>IF(ISNA(VLOOKUP(LEFT(B109,1)&amp;"."&amp;C109,D_ACar,3,FALSE)),0,VLOOKUP(LEFT(B109,1)&amp;"."&amp;C109,D_ACar,3,FALSE))</f>
        <v>0</v>
      </c>
      <c r="F109" s="6"/>
      <c r="G109" s="27"/>
      <c r="H109" s="14" t="s">
        <v>48</v>
      </c>
      <c r="I109" s="68" t="s">
        <v>30</v>
      </c>
      <c r="J109" s="67" t="s">
        <v>30</v>
      </c>
      <c r="K109" s="12">
        <f>IF(ISNA(VLOOKUP(LEFT(I109,1)&amp;"."&amp;J109,D_ACar,2,FALSE)),0,VLOOKUP(LEFT(I109,1)&amp;"."&amp;J109,D_ACar,2,FALSE))</f>
        <v>0</v>
      </c>
      <c r="L109" s="11">
        <f>IF(ISNA(VLOOKUP(LEFT(I109,1)&amp;"."&amp;J109,D_ACar,3,FALSE)),0,VLOOKUP(LEFT(I109,1)&amp;"."&amp;J109,D_ACar,3,FALSE))</f>
        <v>0</v>
      </c>
      <c r="M109" s="32"/>
      <c r="N109" s="31"/>
      <c r="O109" s="32"/>
      <c r="P109" s="32"/>
      <c r="Q109" s="32"/>
      <c r="R109" s="32"/>
      <c r="S109" s="32"/>
      <c r="T109" s="32"/>
      <c r="U109" s="32"/>
      <c r="V109" s="32"/>
      <c r="W109" s="32"/>
      <c r="X109" s="32"/>
      <c r="Y109" s="32"/>
      <c r="Z109" s="32"/>
      <c r="AA109" s="32"/>
      <c r="AB109" s="32"/>
      <c r="AC109" s="32"/>
      <c r="AD109" s="32"/>
    </row>
    <row r="110" spans="1:30" s="17" customFormat="1" ht="5.0999999999999996" customHeight="1" x14ac:dyDescent="0.25">
      <c r="A110" s="29"/>
      <c r="B110" s="70"/>
      <c r="C110" s="28"/>
      <c r="D110" s="6"/>
      <c r="E110" s="6"/>
      <c r="F110" s="6"/>
      <c r="G110" s="27"/>
      <c r="H110" s="29"/>
      <c r="I110" s="71"/>
      <c r="J110" s="28"/>
      <c r="K110" s="6"/>
      <c r="L110" s="6"/>
      <c r="M110" s="34"/>
      <c r="N110" s="35"/>
      <c r="O110" s="34"/>
      <c r="P110" s="34"/>
      <c r="Q110" s="34"/>
      <c r="R110" s="34"/>
      <c r="S110" s="34"/>
      <c r="T110" s="34"/>
      <c r="U110" s="34"/>
      <c r="V110" s="34"/>
      <c r="W110" s="34"/>
      <c r="X110" s="34"/>
      <c r="Y110" s="34"/>
      <c r="Z110" s="34"/>
      <c r="AA110" s="34"/>
      <c r="AB110" s="34"/>
      <c r="AC110" s="34"/>
      <c r="AD110" s="34"/>
    </row>
    <row r="111" spans="1:30" x14ac:dyDescent="0.25">
      <c r="A111" s="14" t="s">
        <v>49</v>
      </c>
      <c r="B111" s="68" t="s">
        <v>30</v>
      </c>
      <c r="C111" s="67" t="s">
        <v>30</v>
      </c>
      <c r="D111" s="11">
        <f>IF(ISNA(VLOOKUP(LEFT(B111,1)&amp;"."&amp;C111,D_Tank,2,FALSE)),0,VLOOKUP(LEFT(B111,1)&amp;"."&amp;C111,D_Tank,2,FALSE))</f>
        <v>0</v>
      </c>
      <c r="E111" s="11">
        <f>IF(ISNA(VLOOKUP(LEFT(B111,1)&amp;"."&amp;C111,D_Tank,3,FALSE)),0,VLOOKUP(LEFT(B111,1)&amp;"."&amp;C111,D_Tank,3,FALSE))</f>
        <v>0</v>
      </c>
      <c r="F111" s="6"/>
      <c r="G111" s="27"/>
      <c r="H111" s="14" t="s">
        <v>49</v>
      </c>
      <c r="I111" s="68" t="s">
        <v>30</v>
      </c>
      <c r="J111" s="67" t="s">
        <v>30</v>
      </c>
      <c r="K111" s="12">
        <f>IF(ISNA(VLOOKUP(LEFT(I111,1)&amp;"."&amp;J111,D_Tank,2,FALSE)),0,VLOOKUP(LEFT(I111,1)&amp;"."&amp;J111,D_Tank,2,FALSE))</f>
        <v>0</v>
      </c>
      <c r="L111" s="11">
        <f>IF(ISNA(VLOOKUP(LEFT(I111,1)&amp;"."&amp;J111,'Data Sheet'!$B$183:$D$260,3,FALSE)),0,VLOOKUP(LEFT(I111,1)&amp;"."&amp;J111,'Data Sheet'!$B$183:$D$260,3,FALSE))</f>
        <v>0</v>
      </c>
      <c r="M111" s="32"/>
      <c r="N111" s="31"/>
      <c r="O111" s="32"/>
      <c r="P111" s="32"/>
      <c r="Q111" s="32"/>
      <c r="R111" s="32"/>
      <c r="S111" s="32"/>
      <c r="T111" s="32"/>
      <c r="U111" s="32"/>
      <c r="V111" s="32"/>
      <c r="W111" s="32"/>
      <c r="X111" s="32"/>
      <c r="Y111" s="32"/>
      <c r="Z111" s="32"/>
      <c r="AA111" s="32"/>
      <c r="AB111" s="32"/>
      <c r="AC111" s="32"/>
      <c r="AD111" s="32"/>
    </row>
    <row r="112" spans="1:30" x14ac:dyDescent="0.25">
      <c r="A112" s="97" t="str">
        <f>IF(ISNA(VLOOKUP(LEFT(B111,1)&amp;"."&amp;C111,D_Tank,6,FALSE)),"Optional MG",IF(AND(VLOOKUP(C112,D_TankOptions,5,FALSE)=3,VLOOKUP(LEFT(B111,1)&amp;"."&amp;C111,D_Tank,6,FALSE)&lt;&gt;3),"Only M16 AA can have 2x20mm autocannon",IF(AND(VLOOKUP(C112,D_TankOptions,5,FALSE)=2,OR(VLOOKUP(LEFT(B111,1)&amp;"."&amp;C111,D_Tank,6,FALSE)&lt;&gt;2),VLOOKUP(LEFT(B111,1)&amp;"."&amp;C111,D_Tank,6,FALSE)&lt;&gt;1),"M7, M8, M12, M16 cannot have Pintle mounted HMG","Optional MG")))</f>
        <v>Optional MG</v>
      </c>
      <c r="B112" s="98"/>
      <c r="C112" s="67" t="s">
        <v>30</v>
      </c>
      <c r="D112" s="11">
        <f>IF(ISNA(VLOOKUP(C112,D_TankOptions,2,FALSE)),0,VLOOKUP(C112,D_TankOptions,2,FALSE))</f>
        <v>0</v>
      </c>
      <c r="E112" s="11">
        <f>IF(ISNA(VLOOKUP(C112,D_TankOptions,3,FALSE)),0,VLOOKUP(C112,D_TankOptions,3,FALSE))</f>
        <v>0</v>
      </c>
      <c r="F112" s="11">
        <f>IF(ISNA(VLOOKUP(LEFT(B111,1)&amp;"."&amp;C111,D_Tank,6,FALSE)),0,IF(AND(VLOOKUP(C112,D_TankOptions,5,FALSE)=1,VLOOKUP(LEFT(B111,1)&amp;"."&amp;C111,D_Tank,6,FALSE)&lt;&gt;1),1,IF(AND(VLOOKUP(C112,D_TankOptions,5,FALSE)=3,VLOOKUP(LEFT(B111,1)&amp;"."&amp;C111,D_Tank,6,FALSE)&lt;&gt;3),1,IF(AND(VLOOKUP(C112,D_TankOptions,5,FALSE)=2,OR(VLOOKUP(LEFT(B111,1)&amp;"."&amp;C111,D_Tank,6,FALSE)&lt;&gt;2),VLOOKUP(LEFT(B111,1)&amp;"."&amp;C111,D_Tank,6,FALSE)&lt;&gt;1),1,0))))</f>
        <v>0</v>
      </c>
      <c r="G112" s="27"/>
      <c r="H112" s="97" t="str">
        <f>IF(ISNA(VLOOKUP(LEFT(I111,1)&amp;"."&amp;J111,D_Tank,6,FALSE)),"Optional MG",IF(AND(VLOOKUP(J112,D_TankOptions,5,FALSE)=3,VLOOKUP(LEFT(I111,1)&amp;"."&amp;J111,D_Tank,6,FALSE)&lt;&gt;3),"Only M16 AA can have 2x20mm autocannon",IF(AND(VLOOKUP(J112,D_TankOptions,5,FALSE)=2,OR(VLOOKUP(LEFT(I111,1)&amp;"."&amp;J111,D_Tank,6,FALSE)&lt;&gt;2),VLOOKUP(LEFT(I111,1)&amp;"."&amp;J111,D_Tank,6,FALSE)&lt;&gt;1),"M7, M8, M12, M16 cannot have Pintle mounted HMG","Optional MG")))</f>
        <v>Optional MG</v>
      </c>
      <c r="I112" s="98"/>
      <c r="J112" s="67" t="s">
        <v>30</v>
      </c>
      <c r="K112" s="11">
        <f>IF(ISNA(VLOOKUP(J112,D_TankOptions,2,FALSE)),0,VLOOKUP(J112,D_TankOptions,2,FALSE))</f>
        <v>0</v>
      </c>
      <c r="L112" s="11">
        <f>IF(ISNA(VLOOKUP(J112,D_TankOptions,3,FALSE)),0,VLOOKUP(J112,D_TankOptions,3,FALSE))</f>
        <v>0</v>
      </c>
      <c r="M112" s="11">
        <f>IF(ISNA(VLOOKUP(LEFT(I111,1)&amp;"."&amp;J111,D_Tank,6,FALSE)),0,IF(AND(VLOOKUP(J112,D_TankOptions,5,FALSE)=1,VLOOKUP(LEFT(I111,1)&amp;"."&amp;J111,D_Tank,6,FALSE)&lt;&gt;1),1,IF(AND(VLOOKUP(J112,D_TankOptions,5,FALSE)=3,VLOOKUP(LEFT(I111,1)&amp;"."&amp;J111,D_Tank,6,FALSE)&lt;&gt;3),1,IF(AND(VLOOKUP(J112,D_TankOptions,5,FALSE)=2,OR(VLOOKUP(LEFT(I111,1)&amp;"."&amp;J111,D_Tank,6,FALSE)&lt;&gt;2),VLOOKUP(LEFT(I111,1)&amp;"."&amp;J111,D_Tank,6,FALSE)&lt;&gt;1),1,0))))</f>
        <v>0</v>
      </c>
      <c r="N112" s="31"/>
      <c r="O112" s="32"/>
      <c r="P112" s="32"/>
      <c r="Q112" s="32"/>
      <c r="R112" s="32"/>
      <c r="S112" s="32"/>
      <c r="T112" s="32"/>
      <c r="U112" s="32"/>
      <c r="V112" s="32"/>
      <c r="W112" s="32"/>
      <c r="X112" s="32"/>
      <c r="Y112" s="32"/>
      <c r="Z112" s="32"/>
      <c r="AA112" s="32"/>
      <c r="AB112" s="32"/>
      <c r="AC112" s="32"/>
      <c r="AD112" s="32"/>
    </row>
    <row r="113" spans="1:30" x14ac:dyDescent="0.25">
      <c r="A113" s="97" t="str">
        <f>IF(ISNA(VLOOKUP(LEFT(B111,1)&amp;"."&amp;C111,D_Tank,6,FALSE)),"Optional Cullin Hedgerow Cutter",IF(AND(VLOOKUP(C113,D_TankOptions1,5,FALSE)=1,VLOOKUP(LEFT(B111,1)&amp;"."&amp;C111,D_Tank,7,FALSE)&lt;&gt;1),"Only Tanks can have Hedgerow Cutters","Optional Cullin Hedgerow Cutter"))</f>
        <v>Optional Cullin Hedgerow Cutter</v>
      </c>
      <c r="B113" s="98"/>
      <c r="C113" s="67" t="s">
        <v>30</v>
      </c>
      <c r="D113" s="11">
        <f>IF(ISNA(VLOOKUP(C113,D_TankOptions1,2,FALSE)),0,VLOOKUP(C113,D_TankOptions1,2,FALSE))</f>
        <v>0</v>
      </c>
      <c r="E113" s="11">
        <f>IF(ISNA(VLOOKUP(C113,D_TankOptions1,3,FALSE)),0,VLOOKUP(C113,D_TankOptions1,3,FALSE))</f>
        <v>0</v>
      </c>
      <c r="F113" s="11">
        <f>IF(ISNA(VLOOKUP(LEFT(B111,1)&amp;"."&amp;C111,D_Tank,6,FALSE)),0,IF(AND(VLOOKUP(C113,D_TankOptions1,5,FALSE)=1,VLOOKUP(LEFT(B111,1)&amp;"."&amp;C111,D_Tank,7,FALSE)&lt;&gt;1),1,0))</f>
        <v>0</v>
      </c>
      <c r="G113" s="27"/>
      <c r="H113" s="97" t="str">
        <f>IF(ISNA(VLOOKUP(LEFT(I111,1)&amp;"."&amp;J111,D_Tank,6,FALSE)),"Optional Cullin Hedgerow Cutter",IF(AND(VLOOKUP(J113,D_TankOptions1,5,FALSE)=1,VLOOKUP(LEFT(I111,1)&amp;"."&amp;J111,D_Tank,7,FALSE)&lt;&gt;1),"Only Tanks can have Hedgerow Cutters","Optional Cullin Hedgerow Cutter"))</f>
        <v>Optional Cullin Hedgerow Cutter</v>
      </c>
      <c r="I113" s="98"/>
      <c r="J113" s="67" t="s">
        <v>30</v>
      </c>
      <c r="K113" s="11">
        <f>IF(ISNA(VLOOKUP(J113,D_TankOptions1,2,FALSE)),0,VLOOKUP(J113,D_TankOptions1,2,FALSE))</f>
        <v>0</v>
      </c>
      <c r="L113" s="11">
        <f>IF(ISNA(VLOOKUP(J113,D_TankOptions1,3,FALSE)),0,VLOOKUP(J113,D_TankOptions1,3,FALSE))</f>
        <v>0</v>
      </c>
      <c r="M113" s="11">
        <f>IF(ISNA(VLOOKUP(LEFT(I111,1)&amp;"."&amp;J111,D_Tank,6,FALSE)),0,IF(AND(VLOOKUP(J113,D_TankOptions1,5,FALSE)=1,VLOOKUP(LEFT(I111,1)&amp;"."&amp;J111,D_Tank,7,FALSE)&lt;&gt;1),1,0))</f>
        <v>0</v>
      </c>
      <c r="N113" s="31"/>
      <c r="O113" s="32"/>
      <c r="P113" s="32"/>
      <c r="Q113" s="32"/>
      <c r="R113" s="32"/>
      <c r="S113" s="32"/>
      <c r="T113" s="32"/>
      <c r="U113" s="32"/>
      <c r="V113" s="32"/>
      <c r="W113" s="32"/>
      <c r="X113" s="32"/>
      <c r="Y113" s="32"/>
      <c r="Z113" s="32"/>
      <c r="AA113" s="32"/>
      <c r="AB113" s="32"/>
      <c r="AC113" s="32"/>
      <c r="AD113" s="32"/>
    </row>
    <row r="114" spans="1:30" x14ac:dyDescent="0.25">
      <c r="A114" s="99" t="str">
        <f>IF(OR(E112&gt;E111,E113&gt;E111),"Cannot select Options without Tank also being selected","")</f>
        <v/>
      </c>
      <c r="B114" s="100"/>
      <c r="C114" s="101"/>
      <c r="D114" s="12">
        <f>SUM(D111:D113)</f>
        <v>0</v>
      </c>
      <c r="E114" s="6"/>
      <c r="F114" s="6"/>
      <c r="G114" s="27"/>
      <c r="H114" s="99" t="str">
        <f>IF(OR(L112&gt;L111,L113&gt;L111),"Cannot select Options without Tank also being selected","")</f>
        <v/>
      </c>
      <c r="I114" s="100"/>
      <c r="J114" s="101"/>
      <c r="K114" s="12">
        <f>SUM(K111:K112)</f>
        <v>0</v>
      </c>
      <c r="L114" s="6"/>
      <c r="M114" s="32"/>
      <c r="N114" s="31"/>
      <c r="O114" s="32"/>
      <c r="P114" s="32"/>
      <c r="Q114" s="32"/>
      <c r="R114" s="32"/>
      <c r="S114" s="32"/>
      <c r="T114" s="32"/>
      <c r="U114" s="32"/>
      <c r="V114" s="32"/>
      <c r="W114" s="32"/>
      <c r="X114" s="32"/>
      <c r="Y114" s="32"/>
      <c r="Z114" s="32"/>
      <c r="AA114" s="32"/>
      <c r="AB114" s="32"/>
      <c r="AC114" s="32"/>
      <c r="AD114" s="32"/>
    </row>
    <row r="115" spans="1:30" ht="5.0999999999999996" customHeight="1" x14ac:dyDescent="0.25">
      <c r="A115" s="7"/>
      <c r="B115" s="7"/>
      <c r="C115" s="5"/>
      <c r="D115" s="6"/>
      <c r="H115" s="7"/>
      <c r="I115" s="7"/>
      <c r="J115" s="5"/>
      <c r="K115" s="6"/>
      <c r="M115" s="32"/>
      <c r="N115" s="32"/>
      <c r="O115" s="32"/>
      <c r="P115" s="32"/>
      <c r="Q115" s="32"/>
      <c r="R115" s="32"/>
      <c r="S115" s="32"/>
      <c r="T115" s="32"/>
      <c r="U115" s="32"/>
      <c r="V115" s="32"/>
      <c r="W115" s="32"/>
      <c r="X115" s="32"/>
      <c r="Y115" s="32"/>
      <c r="Z115" s="32"/>
      <c r="AA115" s="32"/>
      <c r="AB115" s="32"/>
      <c r="AC115" s="32"/>
      <c r="AD115" s="32"/>
    </row>
    <row r="116" spans="1:30" s="8" customFormat="1" ht="15.75" x14ac:dyDescent="0.25">
      <c r="A116" s="94" t="s">
        <v>94</v>
      </c>
      <c r="B116" s="95"/>
      <c r="C116" s="96"/>
      <c r="D116" s="81">
        <f>D114+D109+D107+D102+D98+D94+D85+D73+D69+D64+D54+D47+D40+D59+D90+D81+D77</f>
        <v>0</v>
      </c>
      <c r="H116" s="94" t="s">
        <v>94</v>
      </c>
      <c r="I116" s="95"/>
      <c r="J116" s="96"/>
      <c r="K116" s="81">
        <f>K114+K109+K107+K102+K98+K94+K85+K73+K69+K64+K54+K47+K40+K59+K90+K81+K77</f>
        <v>0</v>
      </c>
      <c r="M116" s="33"/>
      <c r="N116" s="33"/>
      <c r="O116" s="33"/>
      <c r="P116" s="33"/>
      <c r="Q116" s="33"/>
      <c r="R116" s="33"/>
      <c r="S116" s="33"/>
      <c r="T116" s="33"/>
      <c r="U116" s="33"/>
      <c r="V116" s="33"/>
      <c r="W116" s="33"/>
      <c r="X116" s="33"/>
      <c r="Y116" s="33"/>
      <c r="Z116" s="33"/>
      <c r="AA116" s="33"/>
      <c r="AB116" s="33"/>
      <c r="AC116" s="33"/>
      <c r="AD116" s="33"/>
    </row>
    <row r="117" spans="1:30" ht="5.0999999999999996" customHeight="1" x14ac:dyDescent="0.25">
      <c r="A117" s="7"/>
      <c r="B117" s="7"/>
      <c r="C117" s="5"/>
      <c r="D117" s="6"/>
      <c r="H117" s="7"/>
      <c r="I117" s="7"/>
      <c r="J117" s="5"/>
      <c r="K117" s="6"/>
      <c r="M117" s="32"/>
      <c r="N117" s="32"/>
      <c r="O117" s="32"/>
      <c r="P117" s="32"/>
      <c r="Q117" s="32"/>
      <c r="R117" s="32"/>
      <c r="S117" s="32"/>
      <c r="T117" s="32"/>
      <c r="U117" s="32"/>
      <c r="V117" s="32"/>
      <c r="W117" s="32"/>
      <c r="X117" s="32"/>
      <c r="Y117" s="32"/>
      <c r="Z117" s="32"/>
      <c r="AA117" s="32"/>
      <c r="AB117" s="32"/>
      <c r="AC117" s="32"/>
      <c r="AD117" s="32"/>
    </row>
    <row r="118" spans="1:30" s="8" customFormat="1" ht="15.75" x14ac:dyDescent="0.25">
      <c r="A118" s="94" t="s">
        <v>93</v>
      </c>
      <c r="B118" s="95"/>
      <c r="C118" s="96"/>
      <c r="D118" s="15">
        <f>D116+D32</f>
        <v>0</v>
      </c>
      <c r="H118" s="94" t="s">
        <v>93</v>
      </c>
      <c r="I118" s="95"/>
      <c r="J118" s="96"/>
      <c r="K118" s="15">
        <f>K116+K32</f>
        <v>0</v>
      </c>
      <c r="M118" s="33"/>
      <c r="N118" s="33"/>
      <c r="O118" s="33"/>
      <c r="P118" s="33"/>
      <c r="Q118" s="33"/>
      <c r="R118" s="33"/>
      <c r="S118" s="33"/>
      <c r="T118" s="33"/>
      <c r="U118" s="33"/>
      <c r="V118" s="33"/>
      <c r="W118" s="33"/>
      <c r="X118" s="33"/>
      <c r="Y118" s="33"/>
      <c r="Z118" s="33"/>
      <c r="AA118" s="33"/>
      <c r="AB118" s="33"/>
      <c r="AC118" s="33"/>
      <c r="AD118" s="33"/>
    </row>
    <row r="119" spans="1:30" x14ac:dyDescent="0.25">
      <c r="A119" s="32"/>
      <c r="B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row>
    <row r="120" spans="1:30" ht="15.75" x14ac:dyDescent="0.25">
      <c r="A120" s="94" t="s">
        <v>136</v>
      </c>
      <c r="B120" s="95"/>
      <c r="C120" s="96"/>
      <c r="D120" s="15">
        <f>D118+K118</f>
        <v>0</v>
      </c>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row>
    <row r="121" spans="1:30" x14ac:dyDescent="0.25">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row>
    <row r="122" spans="1:30" x14ac:dyDescent="0.25">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row>
    <row r="123" spans="1:30" x14ac:dyDescent="0.25">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row>
    <row r="124" spans="1:30" x14ac:dyDescent="0.25">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row>
    <row r="125" spans="1:30" x14ac:dyDescent="0.25">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row>
    <row r="126" spans="1:30" x14ac:dyDescent="0.25">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row>
    <row r="127" spans="1:30" x14ac:dyDescent="0.25">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row>
    <row r="128" spans="1:30" x14ac:dyDescent="0.25">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row>
    <row r="129" spans="8:30" x14ac:dyDescent="0.25">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row>
    <row r="130" spans="8:30" x14ac:dyDescent="0.25">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row>
    <row r="131" spans="8:30" x14ac:dyDescent="0.25">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row>
    <row r="132" spans="8:30" x14ac:dyDescent="0.25">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row>
    <row r="133" spans="8:30" x14ac:dyDescent="0.25">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row>
    <row r="134" spans="8:30" x14ac:dyDescent="0.25">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row>
    <row r="135" spans="8:30" x14ac:dyDescent="0.25">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row>
    <row r="136" spans="8:30" x14ac:dyDescent="0.25">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row>
    <row r="137" spans="8:30" x14ac:dyDescent="0.25">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row>
    <row r="138" spans="8:30" x14ac:dyDescent="0.25">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row>
    <row r="139" spans="8:30" x14ac:dyDescent="0.25">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row>
    <row r="140" spans="8:30" x14ac:dyDescent="0.25">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row>
    <row r="141" spans="8:30" x14ac:dyDescent="0.25">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row>
    <row r="142" spans="8:30" x14ac:dyDescent="0.25">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row>
    <row r="143" spans="8:30" x14ac:dyDescent="0.25">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row>
    <row r="144" spans="8:30" x14ac:dyDescent="0.25">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row>
    <row r="145" spans="8:30" x14ac:dyDescent="0.25">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row>
    <row r="146" spans="8:30" x14ac:dyDescent="0.25">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row>
    <row r="147" spans="8:30" x14ac:dyDescent="0.25">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row>
    <row r="148" spans="8:30" x14ac:dyDescent="0.25">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row>
    <row r="149" spans="8:30" x14ac:dyDescent="0.25">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row>
    <row r="150" spans="8:30" x14ac:dyDescent="0.25">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row>
    <row r="151" spans="8:30" x14ac:dyDescent="0.25">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row>
    <row r="152" spans="8:30" x14ac:dyDescent="0.25">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row>
    <row r="153" spans="8:30" x14ac:dyDescent="0.25">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row>
    <row r="154" spans="8:30" x14ac:dyDescent="0.25">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row>
    <row r="155" spans="8:30" x14ac:dyDescent="0.25">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row>
    <row r="156" spans="8:30" x14ac:dyDescent="0.25">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row>
    <row r="157" spans="8:30" x14ac:dyDescent="0.25">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row>
    <row r="158" spans="8:30" x14ac:dyDescent="0.25">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row>
    <row r="159" spans="8:30" x14ac:dyDescent="0.25">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row>
    <row r="160" spans="8:30" x14ac:dyDescent="0.25">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row>
    <row r="161" spans="8:30" x14ac:dyDescent="0.25">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row>
    <row r="162" spans="8:30" x14ac:dyDescent="0.25">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row>
    <row r="163" spans="8:30" x14ac:dyDescent="0.25">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row>
    <row r="164" spans="8:30" x14ac:dyDescent="0.25">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row>
    <row r="165" spans="8:30" x14ac:dyDescent="0.25">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row>
    <row r="166" spans="8:30" x14ac:dyDescent="0.25">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row>
    <row r="167" spans="8:30" x14ac:dyDescent="0.25">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row>
    <row r="168" spans="8:30" x14ac:dyDescent="0.25">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row>
    <row r="169" spans="8:30" x14ac:dyDescent="0.25">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row>
    <row r="170" spans="8:30" x14ac:dyDescent="0.25">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row>
    <row r="171" spans="8:30" x14ac:dyDescent="0.25">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row>
    <row r="172" spans="8:30" x14ac:dyDescent="0.25">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row>
    <row r="173" spans="8:30" x14ac:dyDescent="0.25">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row>
    <row r="174" spans="8:30" x14ac:dyDescent="0.25">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row>
    <row r="175" spans="8:30" x14ac:dyDescent="0.25">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row>
    <row r="176" spans="8:30" x14ac:dyDescent="0.25">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row>
    <row r="177" spans="8:30" x14ac:dyDescent="0.25">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row>
    <row r="178" spans="8:30" x14ac:dyDescent="0.25">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row>
    <row r="179" spans="8:30" x14ac:dyDescent="0.25">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row>
    <row r="180" spans="8:30" x14ac:dyDescent="0.25">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row>
    <row r="181" spans="8:30" x14ac:dyDescent="0.25">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row>
    <row r="182" spans="8:30" x14ac:dyDescent="0.25">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row>
    <row r="183" spans="8:30" x14ac:dyDescent="0.25">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row>
    <row r="184" spans="8:30" x14ac:dyDescent="0.25">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row>
    <row r="185" spans="8:30" x14ac:dyDescent="0.25">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row>
    <row r="186" spans="8:30" x14ac:dyDescent="0.25">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row>
    <row r="187" spans="8:30" x14ac:dyDescent="0.25">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row>
    <row r="188" spans="8:30" x14ac:dyDescent="0.25">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row>
    <row r="189" spans="8:30" x14ac:dyDescent="0.25">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row>
    <row r="190" spans="8:30" x14ac:dyDescent="0.25">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row>
    <row r="191" spans="8:30" x14ac:dyDescent="0.25">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row>
    <row r="192" spans="8:30" x14ac:dyDescent="0.25">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row>
    <row r="193" spans="8:30" x14ac:dyDescent="0.25">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row>
    <row r="194" spans="8:30" x14ac:dyDescent="0.25">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row>
    <row r="195" spans="8:30" x14ac:dyDescent="0.25">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row>
    <row r="196" spans="8:30" x14ac:dyDescent="0.25">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row>
    <row r="197" spans="8:30" x14ac:dyDescent="0.25">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row>
    <row r="198" spans="8:30" x14ac:dyDescent="0.25">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row>
    <row r="199" spans="8:30" x14ac:dyDescent="0.25">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row>
    <row r="200" spans="8:30" x14ac:dyDescent="0.25">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row>
    <row r="201" spans="8:30" x14ac:dyDescent="0.25">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row>
    <row r="202" spans="8:30" x14ac:dyDescent="0.25">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row>
    <row r="203" spans="8:30" x14ac:dyDescent="0.25">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row>
    <row r="204" spans="8:30" x14ac:dyDescent="0.25">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row>
    <row r="205" spans="8:30" x14ac:dyDescent="0.25">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row>
    <row r="206" spans="8:30" x14ac:dyDescent="0.25">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row>
    <row r="207" spans="8:30" x14ac:dyDescent="0.25">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row>
    <row r="208" spans="8:30" x14ac:dyDescent="0.25">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row>
    <row r="209" spans="8:30" x14ac:dyDescent="0.25">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row>
    <row r="210" spans="8:30" x14ac:dyDescent="0.25">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row>
    <row r="211" spans="8:30" x14ac:dyDescent="0.25">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row>
    <row r="212" spans="8:30" x14ac:dyDescent="0.25">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row>
    <row r="213" spans="8:30" x14ac:dyDescent="0.25">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row>
    <row r="214" spans="8:30" x14ac:dyDescent="0.25">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row>
    <row r="215" spans="8:30" x14ac:dyDescent="0.25">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row>
    <row r="216" spans="8:30" x14ac:dyDescent="0.25">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row>
    <row r="217" spans="8:30" x14ac:dyDescent="0.25">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row>
    <row r="218" spans="8:30" x14ac:dyDescent="0.25">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row>
    <row r="219" spans="8:30" x14ac:dyDescent="0.25">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row>
    <row r="220" spans="8:30" x14ac:dyDescent="0.25">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row>
    <row r="221" spans="8:30" x14ac:dyDescent="0.25">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row>
    <row r="222" spans="8:30" x14ac:dyDescent="0.25">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row>
    <row r="223" spans="8:30" x14ac:dyDescent="0.25">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row>
    <row r="224" spans="8:30" x14ac:dyDescent="0.25">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row>
    <row r="225" spans="8:30" x14ac:dyDescent="0.25">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row>
    <row r="226" spans="8:30" x14ac:dyDescent="0.25">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row>
    <row r="227" spans="8:30" x14ac:dyDescent="0.25">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row>
    <row r="228" spans="8:30" x14ac:dyDescent="0.25">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row>
    <row r="229" spans="8:30" x14ac:dyDescent="0.25">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row>
    <row r="230" spans="8:30" x14ac:dyDescent="0.25">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row>
    <row r="231" spans="8:30" x14ac:dyDescent="0.25">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row>
    <row r="232" spans="8:30" x14ac:dyDescent="0.25">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row>
    <row r="233" spans="8:30" x14ac:dyDescent="0.25">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row>
    <row r="234" spans="8:30" x14ac:dyDescent="0.25">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row>
    <row r="235" spans="8:30" x14ac:dyDescent="0.25">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row>
    <row r="236" spans="8:30" x14ac:dyDescent="0.25">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row>
    <row r="237" spans="8:30" x14ac:dyDescent="0.25">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row>
    <row r="238" spans="8:30" x14ac:dyDescent="0.25">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row>
    <row r="239" spans="8:30" x14ac:dyDescent="0.25">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row>
    <row r="240" spans="8:30" x14ac:dyDescent="0.25">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row>
    <row r="241" spans="8:30" x14ac:dyDescent="0.25">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row>
    <row r="242" spans="8:30" x14ac:dyDescent="0.25">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row>
    <row r="243" spans="8:30" x14ac:dyDescent="0.25">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row>
    <row r="244" spans="8:30" x14ac:dyDescent="0.25">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row>
    <row r="245" spans="8:30" x14ac:dyDescent="0.25">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row>
    <row r="246" spans="8:30" x14ac:dyDescent="0.25">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row>
    <row r="247" spans="8:30" x14ac:dyDescent="0.25">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row>
    <row r="248" spans="8:30" x14ac:dyDescent="0.25">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row>
    <row r="249" spans="8:30" x14ac:dyDescent="0.25">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row>
    <row r="250" spans="8:30" x14ac:dyDescent="0.25">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row>
    <row r="251" spans="8:30" x14ac:dyDescent="0.25">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row>
    <row r="252" spans="8:30" x14ac:dyDescent="0.25">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row>
    <row r="253" spans="8:30" x14ac:dyDescent="0.25">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row>
    <row r="254" spans="8:30" x14ac:dyDescent="0.25">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row>
    <row r="255" spans="8:30" x14ac:dyDescent="0.25">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row>
    <row r="256" spans="8:30" x14ac:dyDescent="0.25">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row>
    <row r="257" spans="8:30" x14ac:dyDescent="0.25">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row>
    <row r="258" spans="8:30" x14ac:dyDescent="0.25">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row>
    <row r="259" spans="8:30" x14ac:dyDescent="0.25">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row>
    <row r="260" spans="8:30" x14ac:dyDescent="0.25">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row>
    <row r="261" spans="8:30" x14ac:dyDescent="0.25">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row>
    <row r="262" spans="8:30" x14ac:dyDescent="0.25">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row>
    <row r="263" spans="8:30" x14ac:dyDescent="0.25">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row>
    <row r="264" spans="8:30" x14ac:dyDescent="0.25">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row>
    <row r="265" spans="8:30" x14ac:dyDescent="0.25">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row>
    <row r="266" spans="8:30" x14ac:dyDescent="0.25">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row>
    <row r="267" spans="8:30" x14ac:dyDescent="0.25">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row>
    <row r="268" spans="8:30" x14ac:dyDescent="0.25">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row>
    <row r="269" spans="8:30" x14ac:dyDescent="0.25">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row>
    <row r="270" spans="8:30" x14ac:dyDescent="0.25">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row>
    <row r="271" spans="8:30" x14ac:dyDescent="0.25">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row>
    <row r="272" spans="8:30" x14ac:dyDescent="0.25">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row>
    <row r="273" spans="8:30" x14ac:dyDescent="0.25">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row>
    <row r="274" spans="8:30" x14ac:dyDescent="0.25">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row>
    <row r="275" spans="8:30" x14ac:dyDescent="0.25">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row>
    <row r="276" spans="8:30" x14ac:dyDescent="0.25">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row>
    <row r="277" spans="8:30" x14ac:dyDescent="0.25">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row>
    <row r="278" spans="8:30" x14ac:dyDescent="0.25">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row>
    <row r="279" spans="8:30" x14ac:dyDescent="0.25">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row>
    <row r="280" spans="8:30" x14ac:dyDescent="0.25">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row>
    <row r="281" spans="8:30" x14ac:dyDescent="0.25">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row>
    <row r="282" spans="8:30" x14ac:dyDescent="0.25">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row>
    <row r="283" spans="8:30" x14ac:dyDescent="0.25">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row>
    <row r="284" spans="8:30" x14ac:dyDescent="0.25">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row>
    <row r="285" spans="8:30" x14ac:dyDescent="0.25">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row>
    <row r="286" spans="8:30" x14ac:dyDescent="0.25">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row>
    <row r="287" spans="8:30" x14ac:dyDescent="0.25">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row>
    <row r="288" spans="8:30" x14ac:dyDescent="0.25">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row>
    <row r="289" spans="8:30" x14ac:dyDescent="0.25">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row>
    <row r="290" spans="8:30" x14ac:dyDescent="0.25">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row>
    <row r="291" spans="8:30" x14ac:dyDescent="0.25">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row>
    <row r="292" spans="8:30" x14ac:dyDescent="0.25">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row>
    <row r="293" spans="8:30" x14ac:dyDescent="0.25">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row>
    <row r="294" spans="8:30" x14ac:dyDescent="0.25">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row>
    <row r="295" spans="8:30" x14ac:dyDescent="0.25">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row>
    <row r="296" spans="8:30" x14ac:dyDescent="0.25">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row>
    <row r="297" spans="8:30" x14ac:dyDescent="0.25">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row>
    <row r="298" spans="8:30" x14ac:dyDescent="0.25">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row>
    <row r="299" spans="8:30" x14ac:dyDescent="0.25">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row>
    <row r="300" spans="8:30" x14ac:dyDescent="0.25">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row>
    <row r="301" spans="8:30" x14ac:dyDescent="0.25">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row>
    <row r="302" spans="8:30" x14ac:dyDescent="0.25">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row>
    <row r="303" spans="8:30" x14ac:dyDescent="0.25">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row>
    <row r="304" spans="8:30" x14ac:dyDescent="0.25">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row>
    <row r="305" spans="8:30" x14ac:dyDescent="0.25">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row>
    <row r="306" spans="8:30" x14ac:dyDescent="0.25">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row>
    <row r="307" spans="8:30" x14ac:dyDescent="0.25">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row>
    <row r="308" spans="8:30" x14ac:dyDescent="0.25">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row>
    <row r="309" spans="8:30" x14ac:dyDescent="0.25">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row>
    <row r="310" spans="8:30" x14ac:dyDescent="0.25">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row>
    <row r="311" spans="8:30" x14ac:dyDescent="0.25">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row>
    <row r="312" spans="8:30" x14ac:dyDescent="0.25">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row>
    <row r="313" spans="8:30" x14ac:dyDescent="0.25">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row>
    <row r="314" spans="8:30" x14ac:dyDescent="0.25">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row>
    <row r="315" spans="8:30" x14ac:dyDescent="0.25">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row>
    <row r="316" spans="8:30" x14ac:dyDescent="0.25">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row>
    <row r="317" spans="8:30" x14ac:dyDescent="0.25">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row>
    <row r="318" spans="8:30" x14ac:dyDescent="0.25">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row>
    <row r="319" spans="8:30" x14ac:dyDescent="0.25">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row>
    <row r="320" spans="8:30" x14ac:dyDescent="0.25">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row>
    <row r="321" spans="8:30" x14ac:dyDescent="0.25">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row>
    <row r="322" spans="8:30" x14ac:dyDescent="0.25">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row>
    <row r="323" spans="8:30" x14ac:dyDescent="0.25">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row>
    <row r="324" spans="8:30" x14ac:dyDescent="0.25">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row>
    <row r="325" spans="8:30" x14ac:dyDescent="0.25">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row>
    <row r="326" spans="8:30" x14ac:dyDescent="0.25">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row>
    <row r="327" spans="8:30" x14ac:dyDescent="0.25">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row>
    <row r="328" spans="8:30" x14ac:dyDescent="0.25">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row>
    <row r="329" spans="8:30" x14ac:dyDescent="0.25">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row>
    <row r="330" spans="8:30" x14ac:dyDescent="0.25">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row>
    <row r="331" spans="8:30" x14ac:dyDescent="0.25">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row>
    <row r="332" spans="8:30" x14ac:dyDescent="0.25">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row>
    <row r="333" spans="8:30" x14ac:dyDescent="0.25">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row>
    <row r="334" spans="8:30" x14ac:dyDescent="0.25">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row>
    <row r="335" spans="8:30" x14ac:dyDescent="0.25">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row>
    <row r="336" spans="8:30" x14ac:dyDescent="0.25">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row>
    <row r="337" spans="8:30" x14ac:dyDescent="0.25">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row>
    <row r="338" spans="8:30" x14ac:dyDescent="0.25">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row>
    <row r="339" spans="8:30" x14ac:dyDescent="0.25">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row>
    <row r="340" spans="8:30" x14ac:dyDescent="0.25">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row>
    <row r="341" spans="8:30" x14ac:dyDescent="0.25">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row>
    <row r="342" spans="8:30" x14ac:dyDescent="0.25">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row>
    <row r="343" spans="8:30" x14ac:dyDescent="0.25">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row>
    <row r="344" spans="8:30" x14ac:dyDescent="0.25">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row>
    <row r="345" spans="8:30" x14ac:dyDescent="0.25">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row>
    <row r="346" spans="8:30" x14ac:dyDescent="0.25">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row>
    <row r="347" spans="8:30" x14ac:dyDescent="0.25">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row>
    <row r="348" spans="8:30" x14ac:dyDescent="0.25">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row>
    <row r="349" spans="8:30" x14ac:dyDescent="0.25">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row>
    <row r="350" spans="8:30" x14ac:dyDescent="0.25">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row>
    <row r="351" spans="8:30" x14ac:dyDescent="0.25">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row>
    <row r="352" spans="8:30" x14ac:dyDescent="0.25">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row>
    <row r="353" spans="8:30" x14ac:dyDescent="0.25">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row>
    <row r="354" spans="8:30" x14ac:dyDescent="0.25">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row>
    <row r="355" spans="8:30" x14ac:dyDescent="0.25">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row>
    <row r="356" spans="8:30" x14ac:dyDescent="0.25">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row>
    <row r="357" spans="8:30" x14ac:dyDescent="0.25">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row>
    <row r="358" spans="8:30" x14ac:dyDescent="0.25">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row>
    <row r="359" spans="8:30" x14ac:dyDescent="0.25">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row>
    <row r="360" spans="8:30" x14ac:dyDescent="0.25">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row>
    <row r="361" spans="8:30" x14ac:dyDescent="0.25">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row>
    <row r="362" spans="8:30" x14ac:dyDescent="0.25">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row>
    <row r="363" spans="8:30" x14ac:dyDescent="0.25">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row>
    <row r="364" spans="8:30" x14ac:dyDescent="0.25">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row>
    <row r="365" spans="8:30" x14ac:dyDescent="0.25">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row>
    <row r="366" spans="8:30" x14ac:dyDescent="0.25">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row>
    <row r="367" spans="8:30" x14ac:dyDescent="0.25">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row>
    <row r="368" spans="8:30" x14ac:dyDescent="0.25">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row>
    <row r="369" spans="8:30" x14ac:dyDescent="0.25">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row>
    <row r="370" spans="8:30" x14ac:dyDescent="0.25">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row>
    <row r="371" spans="8:30" x14ac:dyDescent="0.25">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row>
    <row r="372" spans="8:30" x14ac:dyDescent="0.25">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row>
    <row r="373" spans="8:30" x14ac:dyDescent="0.25">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row>
    <row r="374" spans="8:30" x14ac:dyDescent="0.25">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row>
    <row r="375" spans="8:30" x14ac:dyDescent="0.25">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row>
    <row r="376" spans="8:30" x14ac:dyDescent="0.25">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row>
    <row r="377" spans="8:30" x14ac:dyDescent="0.25">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row>
    <row r="378" spans="8:30" x14ac:dyDescent="0.25">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row>
    <row r="379" spans="8:30" x14ac:dyDescent="0.25">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row>
    <row r="380" spans="8:30" x14ac:dyDescent="0.25">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row>
    <row r="381" spans="8:30" x14ac:dyDescent="0.25">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row>
    <row r="382" spans="8:30" x14ac:dyDescent="0.25">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row>
    <row r="383" spans="8:30" x14ac:dyDescent="0.25">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row>
    <row r="384" spans="8:30" x14ac:dyDescent="0.25">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row>
    <row r="385" spans="8:30" x14ac:dyDescent="0.25">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row>
    <row r="386" spans="8:30" x14ac:dyDescent="0.25">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row>
    <row r="387" spans="8:30" x14ac:dyDescent="0.25">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row>
    <row r="388" spans="8:30" x14ac:dyDescent="0.25">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row>
    <row r="389" spans="8:30" x14ac:dyDescent="0.25">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row>
    <row r="390" spans="8:30" x14ac:dyDescent="0.25">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row>
    <row r="391" spans="8:30" x14ac:dyDescent="0.25">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row>
    <row r="392" spans="8:30" x14ac:dyDescent="0.25">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row>
    <row r="393" spans="8:30" x14ac:dyDescent="0.25">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row>
    <row r="394" spans="8:30" x14ac:dyDescent="0.25">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row>
    <row r="395" spans="8:30" x14ac:dyDescent="0.25">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row>
    <row r="396" spans="8:30" x14ac:dyDescent="0.25">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row>
    <row r="397" spans="8:30" x14ac:dyDescent="0.25">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row>
    <row r="398" spans="8:30" x14ac:dyDescent="0.25">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row>
    <row r="399" spans="8:30" x14ac:dyDescent="0.25">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row>
    <row r="400" spans="8:30" x14ac:dyDescent="0.25">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row>
    <row r="401" spans="8:30" x14ac:dyDescent="0.25">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row>
    <row r="402" spans="8:30" x14ac:dyDescent="0.25">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row>
    <row r="403" spans="8:30" x14ac:dyDescent="0.25">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row>
    <row r="404" spans="8:30" x14ac:dyDescent="0.25">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row>
    <row r="405" spans="8:30" x14ac:dyDescent="0.25">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row>
    <row r="406" spans="8:30" x14ac:dyDescent="0.25">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row>
    <row r="407" spans="8:30" x14ac:dyDescent="0.25">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row>
    <row r="408" spans="8:30" x14ac:dyDescent="0.25">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row>
    <row r="409" spans="8:30" x14ac:dyDescent="0.25">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row>
    <row r="410" spans="8:30" x14ac:dyDescent="0.25">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row>
    <row r="411" spans="8:30" x14ac:dyDescent="0.25">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row>
    <row r="412" spans="8:30" x14ac:dyDescent="0.25">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row>
    <row r="413" spans="8:30" x14ac:dyDescent="0.25">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row>
    <row r="414" spans="8:30" x14ac:dyDescent="0.25">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row>
    <row r="415" spans="8:30" x14ac:dyDescent="0.25">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row>
    <row r="416" spans="8:30" x14ac:dyDescent="0.25">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row>
    <row r="417" spans="8:30" x14ac:dyDescent="0.25">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row>
    <row r="418" spans="8:30" x14ac:dyDescent="0.25">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row>
    <row r="419" spans="8:30" x14ac:dyDescent="0.25">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row>
    <row r="420" spans="8:30" x14ac:dyDescent="0.25">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row>
    <row r="421" spans="8:30" x14ac:dyDescent="0.25">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row>
    <row r="422" spans="8:30" x14ac:dyDescent="0.25">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row>
    <row r="423" spans="8:30" x14ac:dyDescent="0.25">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row>
    <row r="424" spans="8:30" x14ac:dyDescent="0.25">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row>
    <row r="425" spans="8:30" x14ac:dyDescent="0.25">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row>
    <row r="426" spans="8:30" x14ac:dyDescent="0.25">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row>
    <row r="427" spans="8:30" x14ac:dyDescent="0.25">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row>
    <row r="428" spans="8:30" x14ac:dyDescent="0.25">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row>
    <row r="429" spans="8:30" x14ac:dyDescent="0.25">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row>
    <row r="430" spans="8:30" x14ac:dyDescent="0.25">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row>
    <row r="431" spans="8:30" x14ac:dyDescent="0.25">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row>
    <row r="432" spans="8:30" x14ac:dyDescent="0.25">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row>
    <row r="433" spans="8:30" x14ac:dyDescent="0.25">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row>
    <row r="434" spans="8:30" x14ac:dyDescent="0.25">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row>
    <row r="435" spans="8:30" x14ac:dyDescent="0.25">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row>
    <row r="436" spans="8:30" x14ac:dyDescent="0.25">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row>
    <row r="437" spans="8:30" x14ac:dyDescent="0.25">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row>
    <row r="438" spans="8:30" x14ac:dyDescent="0.25">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row>
    <row r="439" spans="8:30" x14ac:dyDescent="0.25">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row>
    <row r="440" spans="8:30" x14ac:dyDescent="0.25">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row>
    <row r="441" spans="8:30" x14ac:dyDescent="0.25">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row>
    <row r="442" spans="8:30" x14ac:dyDescent="0.25">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row>
    <row r="443" spans="8:30" x14ac:dyDescent="0.25">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row>
    <row r="444" spans="8:30" x14ac:dyDescent="0.25">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row>
    <row r="445" spans="8:30" x14ac:dyDescent="0.25">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row>
    <row r="446" spans="8:30" x14ac:dyDescent="0.25">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row>
    <row r="447" spans="8:30" x14ac:dyDescent="0.25">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row>
    <row r="448" spans="8:30" x14ac:dyDescent="0.25">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row>
    <row r="449" spans="8:30" x14ac:dyDescent="0.25">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row>
    <row r="450" spans="8:30" x14ac:dyDescent="0.25">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row>
    <row r="451" spans="8:30" x14ac:dyDescent="0.25">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row>
    <row r="452" spans="8:30" x14ac:dyDescent="0.25">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row>
    <row r="453" spans="8:30" x14ac:dyDescent="0.25">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row>
    <row r="454" spans="8:30" x14ac:dyDescent="0.25">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row>
    <row r="455" spans="8:30" x14ac:dyDescent="0.25">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row>
    <row r="456" spans="8:30" x14ac:dyDescent="0.25">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row>
    <row r="457" spans="8:30" x14ac:dyDescent="0.25">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row>
    <row r="458" spans="8:30" x14ac:dyDescent="0.25">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row>
    <row r="459" spans="8:30" x14ac:dyDescent="0.25">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row>
    <row r="460" spans="8:30" x14ac:dyDescent="0.25">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row>
    <row r="461" spans="8:30" x14ac:dyDescent="0.25">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row>
    <row r="462" spans="8:30" x14ac:dyDescent="0.25">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row>
    <row r="463" spans="8:30" x14ac:dyDescent="0.25">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row>
    <row r="464" spans="8:30" x14ac:dyDescent="0.25">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row>
    <row r="465" spans="8:30" x14ac:dyDescent="0.25">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row>
    <row r="466" spans="8:30" x14ac:dyDescent="0.25">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row>
    <row r="467" spans="8:30" x14ac:dyDescent="0.25">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row>
    <row r="468" spans="8:30" x14ac:dyDescent="0.25">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row>
    <row r="469" spans="8:30" x14ac:dyDescent="0.25">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row>
    <row r="470" spans="8:30" x14ac:dyDescent="0.25">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row>
    <row r="471" spans="8:30" x14ac:dyDescent="0.25">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row>
    <row r="472" spans="8:30" x14ac:dyDescent="0.25">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row>
    <row r="473" spans="8:30" x14ac:dyDescent="0.25">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row>
    <row r="474" spans="8:30" x14ac:dyDescent="0.25">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row>
    <row r="475" spans="8:30" x14ac:dyDescent="0.25">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row>
    <row r="476" spans="8:30" x14ac:dyDescent="0.25">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row>
    <row r="477" spans="8:30" x14ac:dyDescent="0.25">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row>
    <row r="478" spans="8:30" x14ac:dyDescent="0.25">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row>
    <row r="479" spans="8:30" x14ac:dyDescent="0.25">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row>
    <row r="480" spans="8:30" x14ac:dyDescent="0.25">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row>
    <row r="481" spans="8:30" x14ac:dyDescent="0.25">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row>
    <row r="482" spans="8:30" x14ac:dyDescent="0.25">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row>
    <row r="483" spans="8:30" x14ac:dyDescent="0.25">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row>
    <row r="484" spans="8:30" x14ac:dyDescent="0.25">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row>
    <row r="485" spans="8:30" x14ac:dyDescent="0.25">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row>
    <row r="486" spans="8:30" x14ac:dyDescent="0.25">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row>
    <row r="487" spans="8:30" x14ac:dyDescent="0.25">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row>
    <row r="488" spans="8:30" x14ac:dyDescent="0.25">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row>
    <row r="489" spans="8:30" x14ac:dyDescent="0.25">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row>
    <row r="490" spans="8:30" x14ac:dyDescent="0.25">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row>
    <row r="491" spans="8:30" x14ac:dyDescent="0.25">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row>
    <row r="492" spans="8:30" x14ac:dyDescent="0.25">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row>
    <row r="493" spans="8:30" x14ac:dyDescent="0.25">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row>
    <row r="494" spans="8:30" x14ac:dyDescent="0.25">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row>
    <row r="495" spans="8:30" x14ac:dyDescent="0.25">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row>
    <row r="496" spans="8:30" x14ac:dyDescent="0.25">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row>
    <row r="497" spans="8:30" x14ac:dyDescent="0.25">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row>
    <row r="498" spans="8:30" x14ac:dyDescent="0.25">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row>
    <row r="499" spans="8:30" x14ac:dyDescent="0.25">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row>
    <row r="500" spans="8:30" x14ac:dyDescent="0.25">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row>
    <row r="501" spans="8:30" x14ac:dyDescent="0.25">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row>
    <row r="502" spans="8:30" x14ac:dyDescent="0.25">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row>
    <row r="503" spans="8:30" x14ac:dyDescent="0.25">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row>
    <row r="504" spans="8:30" x14ac:dyDescent="0.25">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row>
    <row r="505" spans="8:30" x14ac:dyDescent="0.25">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row>
    <row r="506" spans="8:30" x14ac:dyDescent="0.25">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row>
    <row r="507" spans="8:30" x14ac:dyDescent="0.25">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row>
    <row r="508" spans="8:30" x14ac:dyDescent="0.25">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row>
    <row r="509" spans="8:30" x14ac:dyDescent="0.25">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row>
    <row r="510" spans="8:30" x14ac:dyDescent="0.25">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row>
    <row r="511" spans="8:30" x14ac:dyDescent="0.25">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row>
    <row r="512" spans="8:30" x14ac:dyDescent="0.25">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row>
    <row r="513" spans="8:30" x14ac:dyDescent="0.25">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row>
    <row r="514" spans="8:30" x14ac:dyDescent="0.25">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row>
    <row r="515" spans="8:30" x14ac:dyDescent="0.25">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row>
    <row r="516" spans="8:30" x14ac:dyDescent="0.25">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row>
    <row r="517" spans="8:30" x14ac:dyDescent="0.25">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row>
    <row r="518" spans="8:30" x14ac:dyDescent="0.25">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row>
    <row r="519" spans="8:30" x14ac:dyDescent="0.25">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row>
    <row r="520" spans="8:30" x14ac:dyDescent="0.25">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row>
    <row r="521" spans="8:30" x14ac:dyDescent="0.25">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row>
    <row r="522" spans="8:30" x14ac:dyDescent="0.25">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row>
    <row r="523" spans="8:30" x14ac:dyDescent="0.25">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row>
    <row r="524" spans="8:30" x14ac:dyDescent="0.25">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row>
    <row r="525" spans="8:30" x14ac:dyDescent="0.25">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row>
    <row r="526" spans="8:30" x14ac:dyDescent="0.25">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row>
    <row r="527" spans="8:30" x14ac:dyDescent="0.25">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row>
    <row r="528" spans="8:30" x14ac:dyDescent="0.25">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row>
    <row r="529" spans="8:30" x14ac:dyDescent="0.25">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row>
    <row r="530" spans="8:30" x14ac:dyDescent="0.25">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row>
    <row r="531" spans="8:30" x14ac:dyDescent="0.25">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row>
    <row r="532" spans="8:30" x14ac:dyDescent="0.25">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row>
    <row r="533" spans="8:30" x14ac:dyDescent="0.25">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row>
    <row r="534" spans="8:30" x14ac:dyDescent="0.25">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row>
    <row r="535" spans="8:30" x14ac:dyDescent="0.25">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row>
    <row r="536" spans="8:30" x14ac:dyDescent="0.25">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row>
    <row r="537" spans="8:30" x14ac:dyDescent="0.25">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row>
    <row r="538" spans="8:30" x14ac:dyDescent="0.25">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row>
    <row r="539" spans="8:30" x14ac:dyDescent="0.25">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row>
    <row r="540" spans="8:30" x14ac:dyDescent="0.25">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row>
    <row r="541" spans="8:30" x14ac:dyDescent="0.25">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row>
    <row r="542" spans="8:30" x14ac:dyDescent="0.25">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row>
    <row r="543" spans="8:30" x14ac:dyDescent="0.25">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row>
    <row r="544" spans="8:30" x14ac:dyDescent="0.25">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row>
    <row r="545" spans="8:30" x14ac:dyDescent="0.25">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row>
    <row r="546" spans="8:30" x14ac:dyDescent="0.25">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row>
    <row r="547" spans="8:30" x14ac:dyDescent="0.25">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row>
    <row r="548" spans="8:30" x14ac:dyDescent="0.25">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row>
    <row r="549" spans="8:30" x14ac:dyDescent="0.25">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row>
    <row r="550" spans="8:30" x14ac:dyDescent="0.25">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row>
    <row r="551" spans="8:30" x14ac:dyDescent="0.25">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row>
    <row r="552" spans="8:30" x14ac:dyDescent="0.25">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row>
    <row r="553" spans="8:30" x14ac:dyDescent="0.25">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row>
    <row r="554" spans="8:30" x14ac:dyDescent="0.25">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row>
    <row r="555" spans="8:30" x14ac:dyDescent="0.25">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row>
    <row r="556" spans="8:30" x14ac:dyDescent="0.25">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row>
    <row r="557" spans="8:30" x14ac:dyDescent="0.25">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row>
    <row r="558" spans="8:30" x14ac:dyDescent="0.25">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row>
    <row r="559" spans="8:30" x14ac:dyDescent="0.25">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row>
    <row r="560" spans="8:30" x14ac:dyDescent="0.25">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row>
    <row r="561" spans="8:30" x14ac:dyDescent="0.25">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row>
    <row r="562" spans="8:30" x14ac:dyDescent="0.25">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row>
    <row r="563" spans="8:30" x14ac:dyDescent="0.25">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row>
    <row r="564" spans="8:30" x14ac:dyDescent="0.25">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row>
    <row r="565" spans="8:30" x14ac:dyDescent="0.25">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row>
  </sheetData>
  <sheetProtection password="D83F" sheet="1" objects="1" scenarios="1" selectLockedCells="1"/>
  <dataConsolidate/>
  <mergeCells count="94">
    <mergeCell ref="A120:C120"/>
    <mergeCell ref="H73:J73"/>
    <mergeCell ref="A94:C94"/>
    <mergeCell ref="H94:J94"/>
    <mergeCell ref="A98:C98"/>
    <mergeCell ref="H98:J98"/>
    <mergeCell ref="H102:J102"/>
    <mergeCell ref="H116:J116"/>
    <mergeCell ref="A116:C116"/>
    <mergeCell ref="A73:C73"/>
    <mergeCell ref="A118:C118"/>
    <mergeCell ref="A102:C102"/>
    <mergeCell ref="H118:J118"/>
    <mergeCell ref="H81:J81"/>
    <mergeCell ref="A88:B88"/>
    <mergeCell ref="H88:I88"/>
    <mergeCell ref="A69:C69"/>
    <mergeCell ref="A112:B112"/>
    <mergeCell ref="A114:C114"/>
    <mergeCell ref="H112:I112"/>
    <mergeCell ref="H114:J114"/>
    <mergeCell ref="A105:B105"/>
    <mergeCell ref="H105:I105"/>
    <mergeCell ref="A85:C85"/>
    <mergeCell ref="H85:J85"/>
    <mergeCell ref="A113:B113"/>
    <mergeCell ref="H113:I113"/>
    <mergeCell ref="A77:C77"/>
    <mergeCell ref="H77:J77"/>
    <mergeCell ref="A81:C81"/>
    <mergeCell ref="A90:C90"/>
    <mergeCell ref="H90:J90"/>
    <mergeCell ref="H64:J64"/>
    <mergeCell ref="H69:J69"/>
    <mergeCell ref="H40:J40"/>
    <mergeCell ref="H41:J41"/>
    <mergeCell ref="H47:J47"/>
    <mergeCell ref="H48:J48"/>
    <mergeCell ref="H54:J54"/>
    <mergeCell ref="H55:J55"/>
    <mergeCell ref="H52:I52"/>
    <mergeCell ref="H51:I51"/>
    <mergeCell ref="H59:J59"/>
    <mergeCell ref="H44:I44"/>
    <mergeCell ref="H45:I45"/>
    <mergeCell ref="A64:C64"/>
    <mergeCell ref="A55:C55"/>
    <mergeCell ref="A40:C40"/>
    <mergeCell ref="A41:C41"/>
    <mergeCell ref="A47:C47"/>
    <mergeCell ref="A48:C48"/>
    <mergeCell ref="A54:C54"/>
    <mergeCell ref="A50:B50"/>
    <mergeCell ref="A52:B52"/>
    <mergeCell ref="A44:B44"/>
    <mergeCell ref="A59:C59"/>
    <mergeCell ref="A51:B51"/>
    <mergeCell ref="H34:J34"/>
    <mergeCell ref="H32:J32"/>
    <mergeCell ref="H30:J30"/>
    <mergeCell ref="H36:I36"/>
    <mergeCell ref="A19:B19"/>
    <mergeCell ref="A20:B20"/>
    <mergeCell ref="A34:C34"/>
    <mergeCell ref="A23:C23"/>
    <mergeCell ref="A31:C31"/>
    <mergeCell ref="A32:C32"/>
    <mergeCell ref="A30:C30"/>
    <mergeCell ref="A21:B21"/>
    <mergeCell ref="A26:B26"/>
    <mergeCell ref="A27:B27"/>
    <mergeCell ref="A36:B36"/>
    <mergeCell ref="A28:B28"/>
    <mergeCell ref="A10:C10"/>
    <mergeCell ref="H12:J12"/>
    <mergeCell ref="H16:J16"/>
    <mergeCell ref="H23:J23"/>
    <mergeCell ref="H31:J31"/>
    <mergeCell ref="A12:C12"/>
    <mergeCell ref="A16:C16"/>
    <mergeCell ref="H27:I27"/>
    <mergeCell ref="H28:I28"/>
    <mergeCell ref="H19:I19"/>
    <mergeCell ref="H20:I20"/>
    <mergeCell ref="H21:I21"/>
    <mergeCell ref="H26:I26"/>
    <mergeCell ref="A37:B37"/>
    <mergeCell ref="H43:I43"/>
    <mergeCell ref="A38:B38"/>
    <mergeCell ref="A43:B43"/>
    <mergeCell ref="H50:I50"/>
    <mergeCell ref="A45:B45"/>
    <mergeCell ref="H37:I37"/>
    <mergeCell ref="H38:I38"/>
  </mergeCells>
  <conditionalFormatting sqref="H12:K118">
    <cfRule type="expression" dxfId="29" priority="105">
      <formula>$D$10=1</formula>
    </cfRule>
  </conditionalFormatting>
  <conditionalFormatting sqref="H51">
    <cfRule type="expression" dxfId="28" priority="100">
      <formula>M51=1</formula>
    </cfRule>
  </conditionalFormatting>
  <conditionalFormatting sqref="A19">
    <cfRule type="expression" dxfId="27" priority="22">
      <formula>F19=1</formula>
    </cfRule>
  </conditionalFormatting>
  <conditionalFormatting sqref="A20">
    <cfRule type="expression" dxfId="26" priority="97">
      <formula>F20=1</formula>
    </cfRule>
  </conditionalFormatting>
  <conditionalFormatting sqref="A27">
    <cfRule type="expression" dxfId="25" priority="48">
      <formula>F27=1</formula>
    </cfRule>
  </conditionalFormatting>
  <conditionalFormatting sqref="A51">
    <cfRule type="expression" dxfId="24" priority="39">
      <formula>F51=1</formula>
    </cfRule>
  </conditionalFormatting>
  <conditionalFormatting sqref="H20">
    <cfRule type="expression" dxfId="23" priority="36">
      <formula>M20=1</formula>
    </cfRule>
  </conditionalFormatting>
  <conditionalFormatting sqref="K59">
    <cfRule type="expression" dxfId="22" priority="50">
      <formula>$D$10=1</formula>
    </cfRule>
  </conditionalFormatting>
  <conditionalFormatting sqref="A37">
    <cfRule type="expression" dxfId="21" priority="45">
      <formula>F37=1</formula>
    </cfRule>
  </conditionalFormatting>
  <conditionalFormatting sqref="A44">
    <cfRule type="expression" dxfId="20" priority="42">
      <formula>F44=1</formula>
    </cfRule>
  </conditionalFormatting>
  <conditionalFormatting sqref="H27">
    <cfRule type="expression" dxfId="19" priority="33">
      <formula>M27=1</formula>
    </cfRule>
  </conditionalFormatting>
  <conditionalFormatting sqref="H44">
    <cfRule type="expression" dxfId="18" priority="27">
      <formula>M44=1</formula>
    </cfRule>
  </conditionalFormatting>
  <conditionalFormatting sqref="H37">
    <cfRule type="expression" dxfId="17" priority="23">
      <formula>M37=1</formula>
    </cfRule>
  </conditionalFormatting>
  <conditionalFormatting sqref="H84:K84 I83 H86:K86 H85 K85">
    <cfRule type="expression" dxfId="16" priority="21">
      <formula>$D$10=1</formula>
    </cfRule>
  </conditionalFormatting>
  <conditionalFormatting sqref="A112">
    <cfRule type="expression" dxfId="15" priority="20">
      <formula>F112=1</formula>
    </cfRule>
  </conditionalFormatting>
  <conditionalFormatting sqref="A113">
    <cfRule type="expression" dxfId="14" priority="16">
      <formula>F113=1</formula>
    </cfRule>
  </conditionalFormatting>
  <conditionalFormatting sqref="H112">
    <cfRule type="expression" dxfId="13" priority="14">
      <formula>M112=1</formula>
    </cfRule>
  </conditionalFormatting>
  <conditionalFormatting sqref="H113">
    <cfRule type="expression" dxfId="12" priority="13">
      <formula>M113=1</formula>
    </cfRule>
  </conditionalFormatting>
  <conditionalFormatting sqref="H75:K76 H78:K78 H77 K77">
    <cfRule type="expression" dxfId="11" priority="12">
      <formula>$D$10=1</formula>
    </cfRule>
  </conditionalFormatting>
  <conditionalFormatting sqref="H79:K80 H82:K82 H81 K81">
    <cfRule type="expression" dxfId="10" priority="11">
      <formula>$D$10=1</formula>
    </cfRule>
  </conditionalFormatting>
  <conditionalFormatting sqref="H87:K87 H89:K89 H88 J88:K88 H91:K91 H90 K90">
    <cfRule type="expression" dxfId="9" priority="10">
      <formula>$D$10=1</formula>
    </cfRule>
  </conditionalFormatting>
  <conditionalFormatting sqref="A26">
    <cfRule type="expression" dxfId="8" priority="9">
      <formula>F26=1</formula>
    </cfRule>
  </conditionalFormatting>
  <conditionalFormatting sqref="A36">
    <cfRule type="expression" dxfId="7" priority="8">
      <formula>F36=1</formula>
    </cfRule>
  </conditionalFormatting>
  <conditionalFormatting sqref="A43">
    <cfRule type="expression" dxfId="6" priority="7">
      <formula>F43=1</formula>
    </cfRule>
  </conditionalFormatting>
  <conditionalFormatting sqref="A50">
    <cfRule type="expression" dxfId="5" priority="6">
      <formula>F50=1</formula>
    </cfRule>
  </conditionalFormatting>
  <conditionalFormatting sqref="H19">
    <cfRule type="expression" dxfId="4" priority="5">
      <formula>M19=1</formula>
    </cfRule>
  </conditionalFormatting>
  <conditionalFormatting sqref="H26">
    <cfRule type="expression" dxfId="3" priority="4">
      <formula>M26=1</formula>
    </cfRule>
  </conditionalFormatting>
  <conditionalFormatting sqref="H36">
    <cfRule type="expression" dxfId="2" priority="3">
      <formula>M36=1</formula>
    </cfRule>
  </conditionalFormatting>
  <conditionalFormatting sqref="H43">
    <cfRule type="expression" dxfId="1" priority="2">
      <formula>M43=1</formula>
    </cfRule>
  </conditionalFormatting>
  <conditionalFormatting sqref="H50">
    <cfRule type="expression" dxfId="0" priority="1">
      <formula>M50=1</formula>
    </cfRule>
  </conditionalFormatting>
  <dataValidations count="38">
    <dataValidation type="list" allowBlank="1" showInputMessage="1" showErrorMessage="1" sqref="C65 J70 C24 J65 C70 J24">
      <formula1>#REF!</formula1>
    </dataValidation>
    <dataValidation type="list" showInputMessage="1" showErrorMessage="1" sqref="J65 J70 C70">
      <formula1>$B$20:$B$20</formula1>
    </dataValidation>
    <dataValidation type="list" showInputMessage="1" showErrorMessage="1" sqref="J82 J74 J78 J86">
      <formula1>$B$131:$B$134</formula1>
    </dataValidation>
    <dataValidation type="list" showInputMessage="1" showErrorMessage="1" sqref="J95">
      <formula1>$B$147:$B$149</formula1>
    </dataValidation>
    <dataValidation type="list" showInputMessage="1" showErrorMessage="1" sqref="J99 C103 C110 J108 C108 J103 J110">
      <formula1>$B$150:$B$152</formula1>
    </dataValidation>
    <dataValidation type="list" showInputMessage="1" showErrorMessage="1" sqref="C13 J13">
      <formula1>Officers</formula1>
    </dataValidation>
    <dataValidation type="list" showInputMessage="1" showErrorMessage="1" sqref="C14 C67 J62 J14 C62 J57 C57 J67">
      <formula1>Add_Men</formula1>
    </dataValidation>
    <dataValidation type="list" showInputMessage="1" showErrorMessage="1" sqref="J109 C109">
      <formula1>ACar</formula1>
    </dataValidation>
    <dataValidation type="list" showInputMessage="1" showErrorMessage="1" sqref="C61 J61">
      <formula1>Medic</formula1>
    </dataValidation>
    <dataValidation type="list" showInputMessage="1" showErrorMessage="1" sqref="C66 J66">
      <formula1>Observers</formula1>
    </dataValidation>
    <dataValidation type="list" showInputMessage="1" showErrorMessage="1" sqref="C100 J100">
      <formula1>AntiTank</formula1>
    </dataValidation>
    <dataValidation type="list" showInputMessage="1" showErrorMessage="1" sqref="C104 J104">
      <formula1>BigGun</formula1>
    </dataValidation>
    <dataValidation type="list" showInputMessage="1" showErrorMessage="1" sqref="C111 J111">
      <formula1>Tank</formula1>
    </dataValidation>
    <dataValidation type="list" showInputMessage="1" showErrorMessage="1" sqref="B18 B49 I18 I25 B25 B35 I35 B42 I42 I49">
      <formula1>UnitType</formula1>
    </dataValidation>
    <dataValidation type="list" showInputMessage="1" showErrorMessage="1" sqref="C18 C42 J18 C49 J42 J35 C35 J49 C25 J25">
      <formula1>Num_Men</formula1>
    </dataValidation>
    <dataValidation type="list" showInputMessage="1" showErrorMessage="1" sqref="C71 J71 C75 J75 C79 J79">
      <formula1>MMG</formula1>
    </dataValidation>
    <dataValidation type="list" showInputMessage="1" showErrorMessage="1" sqref="C92 J92">
      <formula1>Sniper</formula1>
    </dataValidation>
    <dataValidation type="list" showInputMessage="1" showErrorMessage="1" sqref="C96 J96">
      <formula1>Flamer</formula1>
    </dataValidation>
    <dataValidation type="list" showInputMessage="1" showErrorMessage="1" sqref="C22 J106 J22 C53 J46 J15 C46 J53 C29 C39 C63 C72 C58 C93 C97 C101 C106 J68 J72 J29 J93 J97 J39 J58 C68 J63 C15 J101 C84 J84 C76 J76 C80 J80">
      <formula1>Transport</formula1>
    </dataValidation>
    <dataValidation type="list" showInputMessage="1" showErrorMessage="1" sqref="C105 J105">
      <formula1>Spotter</formula1>
    </dataValidation>
    <dataValidation type="list" showInputMessage="1" showErrorMessage="1" sqref="B63 I56:I58 B71:B72 B13:B15 B56:B58 I104 B93 B100:B101 I106 B109 I100:I101 I109 B111 I97 B106 I71:I72 B97 B104 I111 I68 B68 I63 I93 B29 B22 B39 B46 B53 I22 I13:I15 I29 I39 I46 I53 B83:B84 I83:I84 B75:B76 I75:I76 B79:B80 I79:I80">
      <formula1>Ratings</formula1>
    </dataValidation>
    <dataValidation type="list" showInputMessage="1" showErrorMessage="1" sqref="B61 I61 B62 I62">
      <formula1>VetMen</formula1>
    </dataValidation>
    <dataValidation type="list" showInputMessage="1" showErrorMessage="1" sqref="B66:B67 I96 B92 B96 I66:I67 I92">
      <formula1>VetReg</formula1>
    </dataValidation>
    <dataValidation type="list" showInputMessage="1" showErrorMessage="1" sqref="C56 J56">
      <formula1>Officers1</formula1>
    </dataValidation>
    <dataValidation type="list" showInputMessage="1" showErrorMessage="1" sqref="C112 J112">
      <formula1>TankOptions</formula1>
    </dataValidation>
    <dataValidation type="list" showInputMessage="1" showErrorMessage="1" sqref="C19 C26 C36 C43 C50 J36 J43 J50 J19 J26">
      <formula1>IF(F18=1,AutoR_1,IF(F18=2,AutoR_2,AutoR_1))</formula1>
    </dataValidation>
    <dataValidation type="list" showInputMessage="1" showErrorMessage="1" sqref="C20 C27 C37 C44 C51 J37 J44 J51 J20 J27">
      <formula1>IF(F18=1,SMG_2,IF(F18=2,SMG_5,SMG_2))</formula1>
    </dataValidation>
    <dataValidation type="list" showInputMessage="1" showErrorMessage="1" sqref="C21 C28 C38 C45 C52 J38 J45 J52 J21 J28">
      <formula1>ATG_12</formula1>
    </dataValidation>
    <dataValidation type="list" showInputMessage="1" showErrorMessage="1" sqref="C83 J83">
      <formula1>HMG</formula1>
    </dataValidation>
    <dataValidation type="list" showInputMessage="1" showErrorMessage="1" sqref="C113 J113">
      <formula1>TankOptions1</formula1>
    </dataValidation>
    <dataValidation type="list" showInputMessage="1" showErrorMessage="1" sqref="B87 B89 I89 I87">
      <formula1>Ratings</formula1>
    </dataValidation>
    <dataValidation type="list" showInputMessage="1" showErrorMessage="1" sqref="C88 J88">
      <formula1>Spotter</formula1>
    </dataValidation>
    <dataValidation type="list" showInputMessage="1" showErrorMessage="1" sqref="C89 J89">
      <formula1>Transport</formula1>
    </dataValidation>
    <dataValidation type="list" showInputMessage="1" showErrorMessage="1" sqref="C87 J87">
      <formula1>Mortar</formula1>
    </dataValidation>
    <dataValidation type="list" showInputMessage="1" showErrorMessage="1" sqref="J91">
      <formula1>$B$132:$B$133</formula1>
    </dataValidation>
    <dataValidation type="list" showInputMessage="1" showErrorMessage="1" sqref="C74">
      <formula1>$B$109:$B$112</formula1>
    </dataValidation>
    <dataValidation type="list" showInputMessage="1" showErrorMessage="1" sqref="C78">
      <formula1>$B$109:$B$112</formula1>
    </dataValidation>
    <dataValidation type="list" showInputMessage="1" showErrorMessage="1" sqref="C86">
      <formula1>$B$109:$B$112</formula1>
    </dataValidation>
  </dataValidations>
  <pageMargins left="0.7" right="0.7" top="0.75" bottom="0.75" header="0.3" footer="0.3"/>
  <pageSetup paperSize="9" orientation="portrait" r:id="rId1"/>
  <headerFooter>
    <oddHeader>&amp;CBALister v1.2</oddHeader>
  </headerFooter>
  <drawing r:id="rId2"/>
  <extLst>
    <ext xmlns:x14="http://schemas.microsoft.com/office/spreadsheetml/2009/9/main" uri="{CCE6A557-97BC-4b89-ADB6-D9C93CAAB3DF}">
      <x14:dataValidations xmlns:xm="http://schemas.microsoft.com/office/excel/2006/main" count="5">
        <x14:dataValidation type="list" showInputMessage="1" showErrorMessage="1">
          <x14:formula1>
            <xm:f>'Data Sheet'!$B$27:$B$28</xm:f>
          </x14:formula1>
          <xm:sqref>C65</xm:sqref>
        </x14:dataValidation>
        <x14:dataValidation type="list" showInputMessage="1" showErrorMessage="1">
          <x14:formula1>
            <xm:f>'Data Sheet'!$B$127:$B$130</xm:f>
          </x14:formula1>
          <xm:sqref>C82</xm:sqref>
        </x14:dataValidation>
        <x14:dataValidation type="list" showInputMessage="1" showErrorMessage="1">
          <x14:formula1>
            <xm:f>'Data Sheet'!$B$147:$B$149</xm:f>
          </x14:formula1>
          <xm:sqref>C95</xm:sqref>
        </x14:dataValidation>
        <x14:dataValidation type="list" showInputMessage="1" showErrorMessage="1">
          <x14:formula1>
            <xm:f>'Data Sheet'!$B$150:$B$152</xm:f>
          </x14:formula1>
          <xm:sqref>C99</xm:sqref>
        </x14:dataValidation>
        <x14:dataValidation type="list" allowBlank="1" showInputMessage="1" showErrorMessage="1">
          <x14:formula1>
            <xm:f>'Data Sheet'!$J$2:$J$3</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8:Z62"/>
  <sheetViews>
    <sheetView workbookViewId="0">
      <selection activeCell="D20" sqref="D1:Z1048576"/>
    </sheetView>
  </sheetViews>
  <sheetFormatPr defaultColWidth="8.85546875" defaultRowHeight="15" x14ac:dyDescent="0.25"/>
  <cols>
    <col min="1" max="1" width="75.7109375" customWidth="1"/>
    <col min="2" max="2" width="29.7109375" customWidth="1"/>
    <col min="3" max="3" width="10.7109375" customWidth="1"/>
    <col min="4" max="4" width="9.42578125" hidden="1" customWidth="1"/>
    <col min="5" max="8" width="8.85546875" hidden="1" customWidth="1"/>
    <col min="9" max="9" width="22.85546875" hidden="1" customWidth="1"/>
    <col min="10" max="10" width="10.7109375" hidden="1" customWidth="1"/>
    <col min="11" max="11" width="12.5703125" hidden="1" customWidth="1"/>
    <col min="12" max="12" width="4.42578125" hidden="1" customWidth="1"/>
    <col min="13" max="13" width="7" hidden="1" customWidth="1"/>
    <col min="14" max="14" width="16" hidden="1" customWidth="1"/>
    <col min="15" max="15" width="1.85546875" hidden="1" customWidth="1"/>
    <col min="16" max="16" width="11.85546875" hidden="1" customWidth="1"/>
    <col min="17" max="17" width="1.85546875" hidden="1" customWidth="1"/>
    <col min="18" max="18" width="15.85546875" hidden="1" customWidth="1"/>
    <col min="19" max="19" width="4.42578125" hidden="1" customWidth="1"/>
    <col min="20" max="20" width="17.28515625" hidden="1" customWidth="1"/>
    <col min="21" max="21" width="14.7109375" hidden="1" customWidth="1"/>
    <col min="22" max="26" width="8.85546875" hidden="1" customWidth="1"/>
    <col min="27" max="28" width="8.85546875" customWidth="1"/>
  </cols>
  <sheetData>
    <row r="8" spans="1:25" s="17" customFormat="1" ht="26.25" x14ac:dyDescent="0.4">
      <c r="A8" s="112" t="s">
        <v>285</v>
      </c>
      <c r="B8" s="112"/>
      <c r="C8" s="112"/>
      <c r="D8" s="21"/>
      <c r="E8" s="17" t="s">
        <v>88</v>
      </c>
    </row>
    <row r="9" spans="1:25" ht="18.75" x14ac:dyDescent="0.3">
      <c r="A9" s="113" t="s">
        <v>91</v>
      </c>
      <c r="B9" s="114"/>
      <c r="C9" s="115"/>
    </row>
    <row r="10" spans="1:25" x14ac:dyDescent="0.25">
      <c r="A10" s="45" t="s">
        <v>69</v>
      </c>
      <c r="B10" s="42" t="s">
        <v>61</v>
      </c>
      <c r="C10" s="43" t="s">
        <v>40</v>
      </c>
    </row>
    <row r="11" spans="1:25" ht="32.1" customHeight="1" x14ac:dyDescent="0.25">
      <c r="A11" s="44" t="str">
        <f>IF(ISNA(INDEX($E11:$I11,MATCH(1,$E11:$I11,0),4)),"",INDEX($E11:$I11,MATCH(1,$E11:$I11,0),4))</f>
        <v/>
      </c>
      <c r="B11" s="54" t="str">
        <f>IF(ISNA(INDEX($E11:$J11,MATCH(1,$E11:$J11,0),6)),"",INDEX($E11:$J11,MATCH(1,$E11:$J11,0),6))</f>
        <v/>
      </c>
      <c r="C11" s="46" t="str">
        <f>IF(US!D16&gt;0,US!D16,"")</f>
        <v/>
      </c>
      <c r="D11" s="17"/>
      <c r="E11" s="22">
        <f>SUM(F11)</f>
        <v>0</v>
      </c>
      <c r="F11" s="22">
        <f>IF(ISNA(I11),0,1)</f>
        <v>0</v>
      </c>
      <c r="G11" s="22"/>
      <c r="H11" s="22" t="e">
        <f>I11&amp;K11&amp;P11</f>
        <v>#N/A</v>
      </c>
      <c r="I11" s="23" t="e">
        <f>VLOOKUP(LEFT(US!$B$13,1)&amp;"."&amp;US!$C$13,D_Officers,4, FALSE)</f>
        <v>#N/A</v>
      </c>
      <c r="J11" s="23" t="e">
        <f>VLOOKUP(LEFT(US!$B$13,1)&amp;"."&amp;US!$C$13,D_Officers,5, FALSE)</f>
        <v>#N/A</v>
      </c>
      <c r="K11" s="23" t="str">
        <f>IF(ISNA(M11),""," "&amp;M11)</f>
        <v/>
      </c>
      <c r="L11" s="23" t="e">
        <f>VLOOKUP(LEFT(US!$B$14,1)&amp;"."&amp;US!$C$14,D_AddMen,5, FALSE)</f>
        <v>#N/A</v>
      </c>
      <c r="M11" s="23" t="e">
        <f>VLOOKUP(LEFT(US!$B$14,1)&amp;"."&amp;US!$C$14,D_AddMen,4, FALSE)</f>
        <v>#N/A</v>
      </c>
      <c r="N11" s="23" t="e">
        <f>VLOOKUP(LEFT(US!$B$15,1)&amp;"."&amp;US!$C$15,D_Transport,4, FALSE)</f>
        <v>#N/A</v>
      </c>
      <c r="O11" s="23" t="e">
        <f>VLOOKUP(LEFT(US!$B$15,1)&amp;"."&amp;US!$C$15,D_Transport,5, FALSE)</f>
        <v>#N/A</v>
      </c>
      <c r="P11" s="23" t="str">
        <f>IF(ISNA(N11),"",CHAR(10)&amp;" + "&amp;N11&amp;" ("&amp;O11&amp;")")</f>
        <v/>
      </c>
    </row>
    <row r="12" spans="1:25" ht="5.0999999999999996" customHeight="1" x14ac:dyDescent="0.25">
      <c r="A12" s="49"/>
      <c r="B12" s="50"/>
      <c r="C12" s="51"/>
    </row>
    <row r="13" spans="1:25" x14ac:dyDescent="0.25">
      <c r="A13" s="45" t="s">
        <v>70</v>
      </c>
      <c r="B13" s="45" t="s">
        <v>61</v>
      </c>
      <c r="C13" s="42"/>
    </row>
    <row r="14" spans="1:25" x14ac:dyDescent="0.25">
      <c r="A14" s="41" t="str">
        <f>IF(ISNA(INDEX($E14:$I14,MATCH(1,$E14:$I14,0),4)),"",INDEX($E14:$I14,MATCH(1,$E14:$I14,0),4))</f>
        <v/>
      </c>
      <c r="B14" s="20" t="str">
        <f>IF(ISNA(INDEX($E14:$J14,MATCH(1,$E14:$J14,0),6)),"",INDEX($E14:$J14,MATCH(1,$E14:$J14,0),6))</f>
        <v/>
      </c>
      <c r="C14" s="108" t="str">
        <f>IF(US!D23&gt;0,US!D23,"")</f>
        <v/>
      </c>
      <c r="E14" s="22">
        <f>SUM(F14)</f>
        <v>0</v>
      </c>
      <c r="F14" s="22">
        <f>IF(ISNA(I14),0,1)</f>
        <v>0</v>
      </c>
      <c r="G14" s="22"/>
      <c r="H14" s="22" t="e">
        <f>I14&amp;K14</f>
        <v>#N/A</v>
      </c>
      <c r="I14" s="23" t="e">
        <f>VLOOKUP(LEFT(US!$B$18,1)&amp;"."&amp;US!$C$18,D_Men,4,FALSE)</f>
        <v>#N/A</v>
      </c>
      <c r="J14" s="23" t="str">
        <f>VLOOKUP(US!$B$18,UnitType,1, FALSE)</f>
        <v>-</v>
      </c>
      <c r="K14" s="23"/>
      <c r="L14" s="23" t="e">
        <f>VLOOKUP(LEFT(US!$B$18,1)&amp;"."&amp;US!$C$18,D_Men,3,FALSE)-O14-Q14-S14</f>
        <v>#N/A</v>
      </c>
      <c r="M14" s="23" t="e">
        <f>IF(L14&lt;0,"",L14&amp;" Rifles")</f>
        <v>#N/A</v>
      </c>
      <c r="N14" s="23" t="str">
        <f>IF(VLOOKUP(US!$C19,D_AutoR,3,FALSE)=0,"",", "&amp;VLOOKUP(US!$C19,D_AutoR,4,FALSE))</f>
        <v/>
      </c>
      <c r="O14" s="23">
        <f>VLOOKUP(US!$C19,D_AutoR,3,FALSE)</f>
        <v>0</v>
      </c>
      <c r="P14" s="23"/>
      <c r="Q14" s="23"/>
      <c r="R14" s="23" t="str">
        <f>IF(VLOOKUP(US!C20,D_SMG,3,FALSE)=0,"",", "&amp;VLOOKUP(US!C20,D_SMG,4,FALSE))</f>
        <v/>
      </c>
      <c r="S14" s="23">
        <f>VLOOKUP(US!$C20,D_SMG,3,FALSE)</f>
        <v>0</v>
      </c>
      <c r="T14" s="23" t="str">
        <f>IF(VLOOKUP(US!$C21,D_ATG,3,FALSE)=0,"",", "&amp;VLOOKUP(US!$C21,D_ATG,4,FALSE))</f>
        <v/>
      </c>
      <c r="U14" s="23"/>
      <c r="V14" s="23" t="e">
        <f>M14&amp;N14&amp;P14&amp;R14&amp;T14&amp;U14</f>
        <v>#N/A</v>
      </c>
      <c r="W14" s="23" t="e">
        <f>VLOOKUP(LEFT(US!$B$22,1)&amp;"."&amp;US!$C$22,D_Transport,4, FALSE)</f>
        <v>#N/A</v>
      </c>
      <c r="X14" s="23" t="e">
        <f>VLOOKUP(LEFT(US!$B$22,1)&amp;"."&amp;US!$C$22,D_Transport,5, FALSE)</f>
        <v>#N/A</v>
      </c>
      <c r="Y14" s="23" t="str">
        <f>IF(ISNA(W14),"",CHAR(10)&amp;" + "&amp;W14&amp;" ("&amp;X14&amp;")")</f>
        <v/>
      </c>
    </row>
    <row r="15" spans="1:25" ht="48" customHeight="1" x14ac:dyDescent="0.25">
      <c r="A15" s="110" t="str">
        <f>IF(ISNA(V14),"",IF(A14&lt;&gt;"","armed with: "&amp;V14&amp;" "&amp;Y14,""))</f>
        <v/>
      </c>
      <c r="B15" s="111"/>
      <c r="C15" s="109"/>
    </row>
    <row r="16" spans="1:25" ht="5.0999999999999996" customHeight="1" x14ac:dyDescent="0.25">
      <c r="A16" s="52"/>
      <c r="B16" s="48"/>
      <c r="C16" s="53"/>
    </row>
    <row r="17" spans="1:25" x14ac:dyDescent="0.25">
      <c r="A17" s="106" t="s">
        <v>87</v>
      </c>
      <c r="B17" s="107"/>
      <c r="C17" s="42"/>
    </row>
    <row r="18" spans="1:25" x14ac:dyDescent="0.25">
      <c r="A18" s="41" t="str">
        <f>IF(ISNA(INDEX($E18:$I18,MATCH(1,$E18:$I18,0),4)),"",INDEX($E18:$I18,MATCH(1,$E18:$I18,0),4))</f>
        <v/>
      </c>
      <c r="B18" s="20" t="str">
        <f>IF(ISNA(INDEX($E18:$J18,MATCH(1,$E18:$J18,0),6)),"",INDEX($E18:$J18,MATCH(1,$E18:$J18,0),6))</f>
        <v/>
      </c>
      <c r="C18" s="108" t="str">
        <f>IF(US!D30&gt;0,US!D30,"")</f>
        <v/>
      </c>
      <c r="E18" s="22">
        <f>SUM(F18)</f>
        <v>0</v>
      </c>
      <c r="F18" s="22">
        <f>IF(ISNA(I18),0,1)</f>
        <v>0</v>
      </c>
      <c r="G18" s="22"/>
      <c r="H18" s="22" t="e">
        <f>I18&amp;K18</f>
        <v>#N/A</v>
      </c>
      <c r="I18" s="23" t="e">
        <f>VLOOKUP(LEFT(US!$B$25,1)&amp;"."&amp;US!$C$25,D_Men,4,FALSE)</f>
        <v>#N/A</v>
      </c>
      <c r="J18" s="23" t="str">
        <f>VLOOKUP(US!$B$25,UnitType,1, FALSE)</f>
        <v>-</v>
      </c>
      <c r="K18" s="23"/>
      <c r="L18" s="23" t="e">
        <f>VLOOKUP(LEFT(US!$B$25,1)&amp;"."&amp;US!$C$25,D_Men,3,FALSE)-O18-Q18-S18</f>
        <v>#N/A</v>
      </c>
      <c r="M18" s="23" t="e">
        <f>IF(L18&lt;0,"",L18&amp;" Rifles")</f>
        <v>#N/A</v>
      </c>
      <c r="N18" s="23" t="str">
        <f>IF(VLOOKUP(US!$C26,D_AutoR,3,FALSE)=0,"",", "&amp;VLOOKUP(US!$C26,D_AutoR,4,FALSE))</f>
        <v/>
      </c>
      <c r="O18" s="23">
        <f>VLOOKUP(US!$C26,D_AutoR,3,FALSE)</f>
        <v>0</v>
      </c>
      <c r="P18" s="23"/>
      <c r="Q18" s="23"/>
      <c r="R18" s="23" t="str">
        <f>IF(VLOOKUP(US!$C27,D_SMG,3,FALSE)=0,"",", "&amp;VLOOKUP(US!$C27,D_SMG,4,FALSE))</f>
        <v/>
      </c>
      <c r="S18" s="23">
        <f>VLOOKUP(US!$C27,D_SMG,3,FALSE)</f>
        <v>0</v>
      </c>
      <c r="T18" s="23" t="str">
        <f>IF(VLOOKUP(US!$C28,D_ATG,3,FALSE)=0,"",", "&amp;VLOOKUP(US!$C28,D_ATG,4,FALSE))</f>
        <v/>
      </c>
      <c r="U18" s="23"/>
      <c r="V18" s="23" t="e">
        <f>M18&amp;N18&amp;P18&amp;R18&amp;T18&amp;U18</f>
        <v>#N/A</v>
      </c>
      <c r="W18" s="23" t="e">
        <f>VLOOKUP(LEFT(US!$B$29,1)&amp;"."&amp;US!$C$29,D_Transport,4, FALSE)</f>
        <v>#N/A</v>
      </c>
      <c r="X18" s="23" t="e">
        <f>VLOOKUP(LEFT(US!$B$29,1)&amp;"."&amp;US!$C$29,D_Transport,5, FALSE)</f>
        <v>#N/A</v>
      </c>
      <c r="Y18" s="23" t="str">
        <f>IF(ISNA(W18),"",CHAR(10)&amp;" + "&amp;W18&amp;" ("&amp;X18&amp;")")</f>
        <v/>
      </c>
    </row>
    <row r="19" spans="1:25" ht="48" customHeight="1" x14ac:dyDescent="0.25">
      <c r="A19" s="110" t="str">
        <f>IF(ISNA(V18),"",IF(A18&lt;&gt;"","armed with: "&amp;V18&amp;" "&amp;Y18,""))</f>
        <v/>
      </c>
      <c r="B19" s="111"/>
      <c r="C19" s="109"/>
    </row>
    <row r="20" spans="1:25" ht="5.0999999999999996" customHeight="1" x14ac:dyDescent="0.25">
      <c r="A20" s="49"/>
      <c r="B20" s="50"/>
      <c r="C20" s="51"/>
    </row>
    <row r="21" spans="1:25" ht="18.75" x14ac:dyDescent="0.3">
      <c r="A21" s="116" t="s">
        <v>127</v>
      </c>
      <c r="B21" s="117"/>
      <c r="C21" s="118"/>
    </row>
    <row r="22" spans="1:25" x14ac:dyDescent="0.25">
      <c r="A22" s="106" t="s">
        <v>128</v>
      </c>
      <c r="B22" s="107"/>
      <c r="C22" s="42"/>
    </row>
    <row r="23" spans="1:25" x14ac:dyDescent="0.25">
      <c r="A23" s="41" t="str">
        <f>IF(ISNA(INDEX($E23:$I29,MATCH(1,$E23:$E29,0),4)),"",INDEX($E23:$I29,MATCH(1,$E23:$E29,0),4))</f>
        <v/>
      </c>
      <c r="B23" s="20" t="str">
        <f>IF(ISNA(INDEX($E23:$J29,MATCH(1,$E23:$E29,0),6)),"",INDEX($E23:$J29,MATCH(1,$E23:$E29,0),6))</f>
        <v/>
      </c>
      <c r="C23" s="108" t="str">
        <f>IF(ISNA(INDEX($E23:$J29,MATCH(1,$E23:$E29,0),3)),"",INDEX($E23:$J29,MATCH(1,$E23:$E29,0),3))</f>
        <v/>
      </c>
      <c r="E23" s="22">
        <f>SUM(F23)</f>
        <v>0</v>
      </c>
      <c r="F23" s="22">
        <f>IF(ISNA(I23),0,1)</f>
        <v>0</v>
      </c>
      <c r="G23" s="22">
        <f>US!D40</f>
        <v>0</v>
      </c>
      <c r="H23" s="22" t="e">
        <f>I23&amp;K23</f>
        <v>#N/A</v>
      </c>
      <c r="I23" s="23" t="e">
        <f>VLOOKUP(LEFT(US!$B$35,1)&amp;"."&amp;US!$C$35,D_Men,4,FALSE)</f>
        <v>#N/A</v>
      </c>
      <c r="J23" s="23" t="str">
        <f>VLOOKUP(US!$B$35,UnitType,1, FALSE)</f>
        <v>-</v>
      </c>
      <c r="K23" s="23"/>
      <c r="L23" s="23" t="e">
        <f>VLOOKUP(LEFT(US!$B$35,1)&amp;"."&amp;US!$C$35,D_Men,3,FALSE)-O23-Q23-S23</f>
        <v>#N/A</v>
      </c>
      <c r="M23" s="23" t="e">
        <f>IF(L23&lt;0,"",L23&amp;" Rifles")</f>
        <v>#N/A</v>
      </c>
      <c r="N23" s="23" t="str">
        <f>IF(VLOOKUP(US!$C36,D_AutoR,3,FALSE)=0,"",", "&amp;VLOOKUP(US!$C36,D_AutoR,4,FALSE))</f>
        <v/>
      </c>
      <c r="O23" s="23">
        <f>VLOOKUP(US!$C36,D_AutoR,3,FALSE)</f>
        <v>0</v>
      </c>
      <c r="P23" s="23"/>
      <c r="Q23" s="23"/>
      <c r="R23" s="23" t="str">
        <f>IF(VLOOKUP(US!$C37,D_SMG,3,FALSE)=0,"",", "&amp;VLOOKUP(US!$C37,D_SMG,4,FALSE))</f>
        <v/>
      </c>
      <c r="S23" s="23">
        <f>VLOOKUP(US!$C37,D_SMG,3,FALSE)</f>
        <v>0</v>
      </c>
      <c r="T23" s="23" t="str">
        <f>IF(VLOOKUP(US!$C38,D_ATG,3,FALSE)=0,"",", "&amp;VLOOKUP(US!$C38,D_ATG,4,FALSE))</f>
        <v/>
      </c>
      <c r="U23" s="23"/>
      <c r="V23" s="23" t="e">
        <f>M23&amp;N23&amp;P23&amp;R23&amp;T23&amp;U23</f>
        <v>#N/A</v>
      </c>
      <c r="W23" s="23" t="e">
        <f>VLOOKUP(LEFT(US!$B$39,1)&amp;"."&amp;US!$C$39,D_Transport,4, FALSE)</f>
        <v>#N/A</v>
      </c>
      <c r="X23" s="23" t="e">
        <f>VLOOKUP(LEFT(US!$B$39,1)&amp;"."&amp;US!$C$39,D_Transport,5, FALSE)</f>
        <v>#N/A</v>
      </c>
      <c r="Y23" s="23" t="str">
        <f>IF(ISNA(W23),"",CHAR(10)&amp;" + "&amp;W23&amp;" ("&amp;X23&amp;")")</f>
        <v/>
      </c>
    </row>
    <row r="24" spans="1:25" ht="48" customHeight="1" x14ac:dyDescent="0.25">
      <c r="A24" s="110" t="str">
        <f>IF(ISNA(INDEX($E$23:$Y$29,MATCH(1,$E$23:$E$29,0),4)),"","armed with: "&amp;INDEX($E$23:$Y$29,MATCH(1,$E$23:$E$29,0),18)&amp;" "&amp;INDEX($E$23:$Y$29,MATCH(1,$E$23:$E$29,0),21))</f>
        <v/>
      </c>
      <c r="B24" s="111"/>
      <c r="C24" s="109"/>
    </row>
    <row r="25" spans="1:25" x14ac:dyDescent="0.25">
      <c r="A25" s="106" t="s">
        <v>129</v>
      </c>
      <c r="B25" s="107"/>
      <c r="C25" s="42"/>
    </row>
    <row r="26" spans="1:25" x14ac:dyDescent="0.25">
      <c r="A26" s="41" t="str">
        <f>IF(ISNA(INDEX($E23:$I29,MATCH(2,$E23:$E29,0),4)),"",INDEX($E23:$I29,MATCH(2,$E23:$E29,0),4))</f>
        <v/>
      </c>
      <c r="B26" s="20" t="str">
        <f>IF(ISNA(INDEX($E23:$J29,MATCH(2,$E23:$E29,0),6)),"",INDEX($E23:$J29,MATCH(2,$E23:$E29,0),6))</f>
        <v/>
      </c>
      <c r="C26" s="108" t="str">
        <f>IF(ISNA(INDEX($E23:$J29,MATCH(2,$E23:$E29,0),3)),"",INDEX($E23:$J29,MATCH(2,$E23:$E29,0),3))</f>
        <v/>
      </c>
      <c r="E26" s="22">
        <f>SUM(F23:F26)</f>
        <v>0</v>
      </c>
      <c r="F26" s="22">
        <f>IF(ISNA(I26),0,1)</f>
        <v>0</v>
      </c>
      <c r="G26" s="22">
        <f>US!D47</f>
        <v>0</v>
      </c>
      <c r="H26" s="22" t="e">
        <f>I26&amp;K26</f>
        <v>#N/A</v>
      </c>
      <c r="I26" s="23" t="e">
        <f>VLOOKUP(LEFT(US!$B$42,1)&amp;"."&amp;US!$C$42,D_Men,4, FALSE)</f>
        <v>#N/A</v>
      </c>
      <c r="J26" s="23" t="str">
        <f>VLOOKUP(US!$B$42,UnitType,1, FALSE)</f>
        <v>-</v>
      </c>
      <c r="K26" s="23"/>
      <c r="L26" s="23" t="e">
        <f>VLOOKUP(LEFT(US!$B$42,1)&amp;"."&amp;US!$C$42,D_Men,3,FALSE)-O26-Q26-S26</f>
        <v>#N/A</v>
      </c>
      <c r="M26" s="23" t="e">
        <f>IF(L26&lt;0,"",L26&amp;" Rifles")</f>
        <v>#N/A</v>
      </c>
      <c r="N26" s="23" t="str">
        <f>IF(VLOOKUP(US!$C43,D_AutoR,3,FALSE)=0,"",", "&amp;VLOOKUP(US!$C43,D_AutoR,4,FALSE))</f>
        <v/>
      </c>
      <c r="O26" s="23">
        <f>VLOOKUP(US!$C43,D_AutoR,3,FALSE)</f>
        <v>0</v>
      </c>
      <c r="P26" s="23"/>
      <c r="Q26" s="23"/>
      <c r="R26" s="23" t="str">
        <f>IF(VLOOKUP(US!$C44,D_SMG,3,FALSE)=0,"",", "&amp;VLOOKUP(US!$C44,D_SMG,4,FALSE))</f>
        <v/>
      </c>
      <c r="S26" s="23">
        <f>VLOOKUP(US!$C44,D_SMG,3,FALSE)</f>
        <v>0</v>
      </c>
      <c r="T26" s="23" t="str">
        <f>IF(VLOOKUP(US!$C45,D_ATG,3,FALSE)=0,"",", "&amp;VLOOKUP(US!$C45,D_ATG,4,FALSE))</f>
        <v/>
      </c>
      <c r="U26" s="23"/>
      <c r="V26" s="23" t="e">
        <f>M26&amp;N26&amp;P26&amp;R26&amp;T26&amp;U26</f>
        <v>#N/A</v>
      </c>
      <c r="W26" s="23" t="e">
        <f>VLOOKUP(LEFT(US!$B$46,1)&amp;"."&amp;US!$C$46,D_Transport,4, FALSE)</f>
        <v>#N/A</v>
      </c>
      <c r="X26" s="23" t="e">
        <f>VLOOKUP(LEFT(US!$B$46,1)&amp;"."&amp;US!$C$46,D_Transport,5, FALSE)</f>
        <v>#N/A</v>
      </c>
      <c r="Y26" s="23" t="str">
        <f>IF(ISNA(W26),"",CHAR(10)&amp;" + "&amp;W26&amp;" ("&amp;X26&amp;")")</f>
        <v/>
      </c>
    </row>
    <row r="27" spans="1:25" ht="48" customHeight="1" x14ac:dyDescent="0.25">
      <c r="A27" s="110" t="str">
        <f>IF(ISNA(INDEX($E$23:$Y$29,MATCH(2,$E$23:$E$29,0),4)),"","armed with: "&amp;INDEX($E$23:$Y$29,MATCH(2,$E$23:$E$29,0),18)&amp;" "&amp;INDEX($E$23:$Y$29,MATCH(2,$E$23:$E$29,0),21))</f>
        <v/>
      </c>
      <c r="B27" s="111"/>
      <c r="C27" s="109"/>
    </row>
    <row r="28" spans="1:25" x14ac:dyDescent="0.25">
      <c r="A28" s="106" t="s">
        <v>130</v>
      </c>
      <c r="B28" s="107"/>
      <c r="C28" s="42"/>
    </row>
    <row r="29" spans="1:25" x14ac:dyDescent="0.25">
      <c r="A29" s="41" t="str">
        <f>IF(ISNA(INDEX($E23:$I29,MATCH(3,$E23:$E29,0),4)),"",INDEX($E23:$I29,MATCH(3,$E23:$E29,0),4))</f>
        <v/>
      </c>
      <c r="B29" s="20" t="str">
        <f>IF(ISNA(INDEX($E23:$J23,MATCH(3,$E23:$E29,0),6)),"",INDEX($E23:$J29,MATCH(3,$E23:$E29,0),6))</f>
        <v/>
      </c>
      <c r="C29" s="108" t="str">
        <f>IF(ISNA(INDEX($E23:$J29,MATCH(3,$E23:$E29,0),3)),"",INDEX($E23:$J29,MATCH(3,$E23:$E29,0),3))</f>
        <v/>
      </c>
      <c r="E29" s="22">
        <f>SUM(F23:F29)</f>
        <v>0</v>
      </c>
      <c r="F29" s="22">
        <f>IF(ISNA(I29),0,1)</f>
        <v>0</v>
      </c>
      <c r="G29" s="22">
        <f>US!D54</f>
        <v>0</v>
      </c>
      <c r="H29" s="22" t="e">
        <f>I29&amp;K29</f>
        <v>#N/A</v>
      </c>
      <c r="I29" s="23" t="e">
        <f>VLOOKUP(LEFT(US!$B$49,1)&amp;"."&amp;US!$C$49,D_Men,4, FALSE)</f>
        <v>#N/A</v>
      </c>
      <c r="J29" s="23" t="str">
        <f>VLOOKUP(US!$B$49,UnitType,1, FALSE)</f>
        <v>-</v>
      </c>
      <c r="K29" s="23"/>
      <c r="L29" s="23" t="e">
        <f>VLOOKUP(LEFT(US!$B$49,1)&amp;"."&amp;US!$C$49,D_Men,3,FALSE)-O29-Q29-S29</f>
        <v>#N/A</v>
      </c>
      <c r="M29" s="23" t="e">
        <f>IF(L29&lt;0,"",L29&amp;" Rifles")</f>
        <v>#N/A</v>
      </c>
      <c r="N29" s="23" t="str">
        <f>IF(VLOOKUP(US!$C50,D_AutoR,3,FALSE)=0,"",", "&amp;VLOOKUP(US!$C50,D_AutoR,4,FALSE))</f>
        <v/>
      </c>
      <c r="O29" s="23">
        <f>VLOOKUP(US!$C50,D_AutoR,3,FALSE)</f>
        <v>0</v>
      </c>
      <c r="P29" s="23"/>
      <c r="Q29" s="23"/>
      <c r="R29" s="23" t="str">
        <f>IF(VLOOKUP(US!$C51,D_SMG,3,FALSE)=0,"",", "&amp;VLOOKUP(US!$C51,D_SMG,4,FALSE))</f>
        <v/>
      </c>
      <c r="S29" s="23">
        <f>VLOOKUP(US!$C51,D_SMG,3,FALSE)</f>
        <v>0</v>
      </c>
      <c r="T29" s="23" t="str">
        <f>IF(VLOOKUP(US!$C52,D_ATG,3,FALSE)=0,"",", "&amp;VLOOKUP(US!$C52,D_ATG,4,FALSE))</f>
        <v/>
      </c>
      <c r="U29" s="23"/>
      <c r="V29" s="23" t="e">
        <f>M29&amp;N29&amp;P29&amp;R29&amp;T29&amp;U29</f>
        <v>#N/A</v>
      </c>
      <c r="W29" s="23" t="e">
        <f>VLOOKUP(LEFT(US!$B$53,1)&amp;"."&amp;US!$C$53,D_Transport,4, FALSE)</f>
        <v>#N/A</v>
      </c>
      <c r="X29" s="23" t="e">
        <f>VLOOKUP(LEFT(US!$B$53,1)&amp;"."&amp;US!$C$53,D_Transport,5, FALSE)</f>
        <v>#N/A</v>
      </c>
      <c r="Y29" s="23" t="str">
        <f>IF(ISNA(W29),"",CHAR(10)&amp;" + "&amp;W29&amp;" ("&amp;X29&amp;")")</f>
        <v/>
      </c>
    </row>
    <row r="30" spans="1:25" ht="48" customHeight="1" x14ac:dyDescent="0.25">
      <c r="A30" s="110" t="str">
        <f>IF(ISNA(INDEX($E$23:$Y$29,MATCH(3,$E$23:$E$29,0),4)),"","armed with: "&amp;INDEX($E$23:$Y$29,MATCH(3,$E$23:$E$29,0),18)&amp;" "&amp;INDEX($E$23:$Y$29,MATCH(3,$E$23:$E$29,0),21))</f>
        <v/>
      </c>
      <c r="B30" s="111"/>
      <c r="C30" s="109"/>
    </row>
    <row r="31" spans="1:25" x14ac:dyDescent="0.25">
      <c r="A31" s="106" t="s">
        <v>132</v>
      </c>
      <c r="B31" s="107"/>
      <c r="C31" s="42"/>
    </row>
    <row r="32" spans="1:25" ht="32.1" customHeight="1" x14ac:dyDescent="0.25">
      <c r="A32" s="61" t="str">
        <f>IF(ISNA(INDEX($E$32:$J$58,MATCH(1,$E$32:$E$58,0),4)),"",INDEX($E$32:$J$58,MATCH(1,$E$32:$E$58,0),4))</f>
        <v/>
      </c>
      <c r="B32" s="63" t="str">
        <f>IF(ISNA(INDEX($E$32:$J$58,MATCH(1,$E$32:$E$58,0),6)),"",INDEX($E$32:$J$58,MATCH(1,$E$32:$E$58,0),6))</f>
        <v/>
      </c>
      <c r="C32" s="62" t="str">
        <f>IF(ISNA(INDEX($E$32:$J$58,MATCH(1,$E$32:$E$58,0),3)),"",INDEX($E$32:$J$58,MATCH(1,$E$32:$E$58,0),3))</f>
        <v/>
      </c>
      <c r="E32" s="22">
        <f>SUM(F32)</f>
        <v>0</v>
      </c>
      <c r="F32" s="22">
        <f>IF(ISNA(I32),0,1)</f>
        <v>0</v>
      </c>
      <c r="G32" s="23">
        <f>US!D59</f>
        <v>0</v>
      </c>
      <c r="H32" s="22" t="e">
        <f>I32&amp;K32&amp;P32</f>
        <v>#N/A</v>
      </c>
      <c r="I32" s="23" t="e">
        <f>VLOOKUP(LEFT(US!$B$56,1)&amp;"."&amp;US!$C$56,D_Officers1,4, FALSE)</f>
        <v>#N/A</v>
      </c>
      <c r="J32" s="23" t="e">
        <f>VLOOKUP(LEFT(US!$B$56,1)&amp;"."&amp;US!$C$56,D_Officers1,5, FALSE)</f>
        <v>#N/A</v>
      </c>
      <c r="K32" s="23" t="str">
        <f>IF(ISNA(M32),""," "&amp;M32)</f>
        <v/>
      </c>
      <c r="L32" s="23" t="e">
        <f>VLOOKUP(LEFT(US!$B$57,1)&amp;"."&amp;US!$C$57,D_AddMen,5, FALSE)</f>
        <v>#N/A</v>
      </c>
      <c r="M32" s="23" t="e">
        <f>VLOOKUP(LEFT(US!$B$57,1)&amp;"."&amp;US!$C$57,D_AddMen,4, FALSE)</f>
        <v>#N/A</v>
      </c>
      <c r="N32" s="23" t="e">
        <f>VLOOKUP(LEFT(US!$B$58,1)&amp;"."&amp;US!$C$58,D_Transport,4, FALSE)</f>
        <v>#N/A</v>
      </c>
      <c r="O32" s="23" t="e">
        <f>VLOOKUP(LEFT(US!$B$58,1)&amp;"."&amp;US!$C$58,D_Transport,5, FALSE)</f>
        <v>#N/A</v>
      </c>
      <c r="P32" s="23" t="str">
        <f>IF(ISNA(N32),"",CHAR(10)&amp;" + "&amp;N32&amp;" ("&amp;O32&amp;")")</f>
        <v/>
      </c>
      <c r="R32" s="23" t="e">
        <f>VLOOKUP(LEFT(US!$B$56,1)&amp;"."&amp;US!$C$56,D_Officers1,4, FALSE)</f>
        <v>#N/A</v>
      </c>
    </row>
    <row r="33" spans="1:18" ht="5.0999999999999996" customHeight="1" x14ac:dyDescent="0.25">
      <c r="A33" s="44"/>
      <c r="B33" s="41"/>
      <c r="C33" s="41"/>
    </row>
    <row r="34" spans="1:18" ht="32.1" customHeight="1" x14ac:dyDescent="0.25">
      <c r="A34" s="61" t="str">
        <f>IF(ISNA(INDEX($E$32:$J$58,MATCH(2,$E$32:$E$58,0),4)),"",INDEX($E$32:$J$58,MATCH(2,$E$32:$E$58,0),4))</f>
        <v/>
      </c>
      <c r="B34" s="63" t="str">
        <f>IF(ISNA(INDEX($E$32:$J$58,MATCH(2,$E$32:$E$58,0),6)),"",INDEX($E$32:$J$58,MATCH(2,$E$32:$E$58,0),6))</f>
        <v/>
      </c>
      <c r="C34" s="62" t="str">
        <f>IF(ISNA(INDEX($E$32:$J$58,MATCH(2,$E$32:$E$58,0),3)),"",INDEX($E$32:$J$58,MATCH(2,$E$32:$E$58,0),3))</f>
        <v/>
      </c>
      <c r="E34" s="22">
        <f>SUM(F32:F34)</f>
        <v>0</v>
      </c>
      <c r="F34" s="22">
        <f>IF(ISNA(I34),0,1)</f>
        <v>0</v>
      </c>
      <c r="G34" s="23">
        <f>US!D64</f>
        <v>0</v>
      </c>
      <c r="H34" s="22" t="e">
        <f>I34&amp;K34&amp;P34</f>
        <v>#N/A</v>
      </c>
      <c r="I34" s="23" t="e">
        <f>VLOOKUP(LEFT(US!$B$61,1)&amp;"."&amp;US!$C$61,D_Medic,4, FALSE)</f>
        <v>#N/A</v>
      </c>
      <c r="J34" s="23" t="e">
        <f>VLOOKUP(LEFT(US!$B$61,1)&amp;"."&amp;US!$C$61,D_Medic,5, FALSE)</f>
        <v>#N/A</v>
      </c>
      <c r="K34" s="23" t="str">
        <f>IF(ISNA(M34),""," "&amp;M34)</f>
        <v/>
      </c>
      <c r="L34" s="23" t="e">
        <f>VLOOKUP(LEFT(US!$B$62,1)&amp;"."&amp;US!$C$62,D_MedicMen,5, FALSE)</f>
        <v>#N/A</v>
      </c>
      <c r="M34" s="23" t="e">
        <f>VLOOKUP(LEFT(US!$B$62,1)&amp;"."&amp;US!$C$62,D_MedicMen,4, FALSE)</f>
        <v>#N/A</v>
      </c>
      <c r="N34" s="23" t="e">
        <f>VLOOKUP(LEFT(US!$B$63,1)&amp;"."&amp;US!$C$63,D_Transport,4, FALSE)</f>
        <v>#N/A</v>
      </c>
      <c r="O34" s="23" t="e">
        <f>VLOOKUP(LEFT(US!$B$63,1)&amp;"."&amp;US!$C$63,D_Transport,5, FALSE)</f>
        <v>#N/A</v>
      </c>
      <c r="P34" s="23" t="str">
        <f>IF(ISNA(N34),"",CHAR(10)&amp;" + "&amp;N34&amp;" ("&amp;O34&amp;")")</f>
        <v/>
      </c>
      <c r="R34" s="23" t="e">
        <f>VLOOKUP(LEFT(US!$B$61,1)&amp;"."&amp;US!$C$61,D_Medic,4, FALSE)</f>
        <v>#N/A</v>
      </c>
    </row>
    <row r="35" spans="1:18" ht="5.0999999999999996" customHeight="1" x14ac:dyDescent="0.25">
      <c r="A35" s="61"/>
      <c r="B35" s="63"/>
      <c r="C35" s="62"/>
    </row>
    <row r="36" spans="1:18" ht="32.1" customHeight="1" x14ac:dyDescent="0.25">
      <c r="A36" s="61" t="str">
        <f>IF(ISNA(INDEX($E$32:$J$58,MATCH(3,$E$32:$E$58,0),4)),"",INDEX($E$32:$J$58,MATCH(3,$E$32:$E$58,0),4))</f>
        <v/>
      </c>
      <c r="B36" s="63" t="str">
        <f>IF(ISNA(INDEX($E$32:$J$58,MATCH(3,$E$32:$E$58,0),6)),"",INDEX($E$32:$J$58,MATCH(3,$E$32:$E$58,0),6))</f>
        <v/>
      </c>
      <c r="C36" s="62" t="str">
        <f>IF(ISNA(INDEX($E$32:$J$58,MATCH(3,$E$32:$E$58,0),3)),"",INDEX($E$32:$J$58,MATCH(3,$E$32:$E$58,0),3))</f>
        <v/>
      </c>
      <c r="E36" s="22">
        <f>SUM(F32:F36)</f>
        <v>0</v>
      </c>
      <c r="F36" s="22">
        <f>IF(ISNA(I36),0,1)</f>
        <v>0</v>
      </c>
      <c r="G36" s="23">
        <f>US!D69</f>
        <v>0</v>
      </c>
      <c r="H36" s="22" t="e">
        <f>I36&amp;K36&amp;P36</f>
        <v>#N/A</v>
      </c>
      <c r="I36" s="23" t="e">
        <f>VLOOKUP(LEFT(US!$B$66,1)&amp;"."&amp;US!$C$66,D_Observers,4, FALSE)</f>
        <v>#N/A</v>
      </c>
      <c r="J36" s="23" t="e">
        <f>VLOOKUP(LEFT(US!$B$66,1)&amp;"."&amp;US!$C$66,D_Observers,5, FALSE)</f>
        <v>#N/A</v>
      </c>
      <c r="K36" s="23" t="str">
        <f>IF(ISNA(M36),""," "&amp;M36)</f>
        <v/>
      </c>
      <c r="L36" s="23" t="e">
        <f>VLOOKUP(LEFT(US!$B$67,1)&amp;"."&amp;US!$C$67,D_AddMen,5, FALSE)</f>
        <v>#N/A</v>
      </c>
      <c r="M36" s="23" t="e">
        <f>VLOOKUP(LEFT(US!$B$67,1)&amp;"."&amp;US!$C$67,D_AddMen,4, FALSE)</f>
        <v>#N/A</v>
      </c>
      <c r="N36" s="23" t="e">
        <f>VLOOKUP(LEFT(US!$B$68,1)&amp;"."&amp;US!$C$68,D_Transport,4, FALSE)</f>
        <v>#N/A</v>
      </c>
      <c r="O36" s="23" t="e">
        <f>VLOOKUP(LEFT(US!$B$68,1)&amp;"."&amp;US!$C$68,D_Transport,5, FALSE)</f>
        <v>#N/A</v>
      </c>
      <c r="P36" s="23" t="str">
        <f>IF(ISNA(N36),"",CHAR(10)&amp;" + "&amp;N36&amp;" ("&amp;O36&amp;")")</f>
        <v/>
      </c>
    </row>
    <row r="37" spans="1:18" ht="5.0999999999999996" customHeight="1" x14ac:dyDescent="0.25">
      <c r="A37" s="61"/>
      <c r="B37" s="63"/>
      <c r="C37" s="62"/>
    </row>
    <row r="38" spans="1:18" ht="32.1" customHeight="1" x14ac:dyDescent="0.25">
      <c r="A38" s="61" t="str">
        <f>IF(ISNA(INDEX($E$32:$J$58,MATCH(4,$E$32:$E$58,0),4)),"",INDEX($E$32:$J$58,MATCH(4,$E$32:$E$58,0),4))</f>
        <v/>
      </c>
      <c r="B38" s="63" t="str">
        <f>IF(ISNA(INDEX($E$32:$J$58,MATCH(4,$E$32:$E$58,0),6)),"",INDEX($E$32:$J$58,MATCH(4,$E$32:$E$58,0),6))</f>
        <v/>
      </c>
      <c r="C38" s="62" t="str">
        <f>IF(ISNA(INDEX($E$32:$J$58,MATCH(4,$E$32:$E$58,0),3)),"",INDEX($E$32:$J$58,MATCH(4,$E$32:$E$58,0),3))</f>
        <v/>
      </c>
      <c r="E38" s="22">
        <f>SUM(F32:F38)</f>
        <v>0</v>
      </c>
      <c r="F38" s="22">
        <f>IF(ISNA(I38),0,1)</f>
        <v>0</v>
      </c>
      <c r="G38" s="23">
        <f>US!D73</f>
        <v>0</v>
      </c>
      <c r="H38" s="22" t="e">
        <f>I38&amp;K38&amp;P38</f>
        <v>#N/A</v>
      </c>
      <c r="I38" s="23" t="e">
        <f>VLOOKUP(LEFT(US!$B$71,1)&amp;"."&amp;US!$C$71,D_MG,4, FALSE)</f>
        <v>#N/A</v>
      </c>
      <c r="J38" s="23" t="e">
        <f>VLOOKUP(LEFT(US!$B$71,1)&amp;"."&amp;US!$C$71,D_MG,5, FALSE)</f>
        <v>#N/A</v>
      </c>
      <c r="K38" s="23"/>
      <c r="N38" s="23" t="e">
        <f>VLOOKUP(LEFT(US!$B$72,1)&amp;"."&amp;US!$C$72,D_Transport,4, FALSE)</f>
        <v>#N/A</v>
      </c>
      <c r="O38" s="23" t="e">
        <f>VLOOKUP(LEFT(US!$B$72,1)&amp;"."&amp;US!$C$72,D_Transport,5, FALSE)</f>
        <v>#N/A</v>
      </c>
      <c r="P38" s="23" t="str">
        <f>IF(ISNA(N38),"",CHAR(10)&amp;" + "&amp;N38&amp;" ("&amp;O38&amp;")")</f>
        <v/>
      </c>
    </row>
    <row r="39" spans="1:18" ht="5.0999999999999996" customHeight="1" x14ac:dyDescent="0.25">
      <c r="A39" s="61"/>
      <c r="B39" s="63"/>
      <c r="C39" s="62"/>
    </row>
    <row r="40" spans="1:18" ht="32.1" customHeight="1" x14ac:dyDescent="0.25">
      <c r="A40" s="61" t="str">
        <f>IF(ISNA(INDEX($E$32:$J$58,MATCH(5,$E$32:$E$58,0),4)),"",INDEX($E$32:$J$58,MATCH(5,$E$32:$E$58,0),4))</f>
        <v/>
      </c>
      <c r="B40" s="63" t="str">
        <f>IF(ISNA(INDEX($E$32:$J$58,MATCH(5,$E$32:$E$58,0),6)),"",INDEX($E$32:$J$58,MATCH(5,$E$32:$E$58,0),6))</f>
        <v/>
      </c>
      <c r="C40" s="62" t="str">
        <f>IF(ISNA(INDEX($E$32:$J$58,MATCH(5,$E$32:$E$58,0),3)),"",INDEX($E$32:$J$58,MATCH(5,$E$32:$E$58,0),3))</f>
        <v/>
      </c>
      <c r="E40" s="22">
        <f>SUM(F32:F40)</f>
        <v>0</v>
      </c>
      <c r="F40" s="22">
        <f>IF(ISNA(I40),0,1)</f>
        <v>0</v>
      </c>
      <c r="G40" s="23">
        <f>US!D77</f>
        <v>0</v>
      </c>
      <c r="H40" s="22" t="e">
        <f>I40&amp;K40&amp;P40</f>
        <v>#N/A</v>
      </c>
      <c r="I40" s="23" t="e">
        <f>VLOOKUP(LEFT(US!$B$75,1)&amp;"."&amp;US!$C$75,D_MG,4, FALSE)</f>
        <v>#N/A</v>
      </c>
      <c r="J40" s="23" t="e">
        <f>VLOOKUP(LEFT(US!$B$75,1)&amp;"."&amp;US!$C$75,D_MG,5, FALSE)</f>
        <v>#N/A</v>
      </c>
      <c r="K40" s="23"/>
      <c r="N40" s="23" t="e">
        <f>VLOOKUP(LEFT(US!$B$76,1)&amp;"."&amp;US!$C$76,D_Transport,4, FALSE)</f>
        <v>#N/A</v>
      </c>
      <c r="O40" s="23" t="e">
        <f>VLOOKUP(LEFT(US!$B$76,1)&amp;"."&amp;US!$C$76,D_Transport,5, FALSE)</f>
        <v>#N/A</v>
      </c>
      <c r="P40" s="23" t="str">
        <f>IF(ISNA(N40),"",CHAR(10)&amp;" + "&amp;N40&amp;" ("&amp;O40&amp;")")</f>
        <v/>
      </c>
    </row>
    <row r="41" spans="1:18" ht="5.0999999999999996" customHeight="1" x14ac:dyDescent="0.25">
      <c r="A41" s="61"/>
      <c r="B41" s="63"/>
      <c r="C41" s="62"/>
    </row>
    <row r="42" spans="1:18" ht="32.1" customHeight="1" x14ac:dyDescent="0.25">
      <c r="A42" s="61" t="str">
        <f>IF(ISNA(INDEX($E$32:$J$58,MATCH(6,$E$32:$E$58,0),4)),"",INDEX($E$32:$J$58,MATCH(6,$E$32:$E$58,0),4))</f>
        <v/>
      </c>
      <c r="B42" s="63" t="str">
        <f>IF(ISNA(INDEX($E$32:$J$58,MATCH(6,$E$32:$E$58,0),6)),"",INDEX($E$32:$J$58,MATCH(6,$E$32:$E$58,0),6))</f>
        <v/>
      </c>
      <c r="C42" s="62" t="str">
        <f>IF(ISNA(INDEX($E$32:$J$58,MATCH(6,$E$32:$E$58,0),3)),"",INDEX($E$32:$J$58,MATCH(6,$E$32:$E$58,0),3))</f>
        <v/>
      </c>
      <c r="E42" s="22">
        <f>SUM(F32:F42)</f>
        <v>0</v>
      </c>
      <c r="F42" s="22">
        <f>IF(ISNA(I42),0,1)</f>
        <v>0</v>
      </c>
      <c r="G42" s="23">
        <f>US!D81</f>
        <v>0</v>
      </c>
      <c r="H42" s="22" t="e">
        <f>I42&amp;K42&amp;P42</f>
        <v>#N/A</v>
      </c>
      <c r="I42" s="23" t="e">
        <f>VLOOKUP(LEFT(US!$B$79,1)&amp;"."&amp;US!$C$79,D_MG,4, FALSE)</f>
        <v>#N/A</v>
      </c>
      <c r="J42" s="23" t="e">
        <f>VLOOKUP(LEFT(US!$B$79,1)&amp;"."&amp;US!$C$79,D_MG,5, FALSE)</f>
        <v>#N/A</v>
      </c>
      <c r="K42" s="23"/>
      <c r="N42" s="23" t="e">
        <f>VLOOKUP(LEFT(US!$B$80,1)&amp;"."&amp;US!$C$80,D_Transport,4, FALSE)</f>
        <v>#N/A</v>
      </c>
      <c r="O42" s="23" t="e">
        <f>VLOOKUP(LEFT(US!$B$80,1)&amp;"."&amp;US!$C$80,D_Transport,5, FALSE)</f>
        <v>#N/A</v>
      </c>
      <c r="P42" s="23" t="str">
        <f>IF(ISNA(N42),"",CHAR(10)&amp;" + "&amp;N42&amp;" ("&amp;O42&amp;")")</f>
        <v/>
      </c>
    </row>
    <row r="43" spans="1:18" ht="5.0999999999999996" customHeight="1" x14ac:dyDescent="0.25">
      <c r="A43" s="61"/>
      <c r="B43" s="63"/>
      <c r="C43" s="62"/>
    </row>
    <row r="44" spans="1:18" ht="32.1" customHeight="1" x14ac:dyDescent="0.25">
      <c r="A44" s="61" t="str">
        <f>IF(ISNA(INDEX($E$32:$J$58,MATCH(7,$E$32:$E$58,0),4)),"",INDEX($E$32:$J$58,MATCH(7,$E$32:$E$58,0),4))</f>
        <v/>
      </c>
      <c r="B44" s="63" t="str">
        <f>IF(ISNA(INDEX($E$32:$J$58,MATCH(7,$E$32:$E$58,0),6)),"",INDEX($E$32:$J$58,MATCH(7,$E$32:$E$58,0),6))</f>
        <v/>
      </c>
      <c r="C44" s="62" t="str">
        <f>IF(ISNA(INDEX($E$32:$J$58,MATCH(7,$E$32:$E$58,0),3)),"",INDEX($E$32:$J$58,MATCH(7,$E$32:$E$58,0),3))</f>
        <v/>
      </c>
      <c r="E44" s="22">
        <f>SUM(F32:F44)</f>
        <v>0</v>
      </c>
      <c r="F44" s="22">
        <f>IF(ISNA(I44),0,1)</f>
        <v>0</v>
      </c>
      <c r="G44" s="23">
        <f>US!D85</f>
        <v>0</v>
      </c>
      <c r="H44" s="22" t="e">
        <f>I44&amp;K44&amp;P44</f>
        <v>#N/A</v>
      </c>
      <c r="I44" s="23" t="e">
        <f>VLOOKUP(LEFT(US!$B$83,1)&amp;"."&amp;US!$C$83,D_HMG,4, FALSE)</f>
        <v>#N/A</v>
      </c>
      <c r="J44" s="23" t="e">
        <f>VLOOKUP(LEFT(US!$B$83,1)&amp;"."&amp;US!$C$83,D_HMG,5, FALSE)</f>
        <v>#N/A</v>
      </c>
      <c r="K44" s="23"/>
      <c r="N44" s="23" t="e">
        <f>VLOOKUP(LEFT(US!$B$84,1)&amp;"."&amp;US!$C$84,D_Transport,4, FALSE)</f>
        <v>#N/A</v>
      </c>
      <c r="O44" s="23" t="e">
        <f>VLOOKUP(LEFT(US!$B$84,1)&amp;"."&amp;US!$C$84,D_Transport,5, FALSE)</f>
        <v>#N/A</v>
      </c>
      <c r="P44" s="23" t="str">
        <f>IF(ISNA(N44),"",CHAR(10)&amp;" + "&amp;N44&amp;" ("&amp;O44&amp;")")</f>
        <v/>
      </c>
    </row>
    <row r="45" spans="1:18" ht="5.0999999999999996" customHeight="1" x14ac:dyDescent="0.25">
      <c r="A45" s="61"/>
      <c r="B45" s="63"/>
      <c r="C45" s="62"/>
    </row>
    <row r="46" spans="1:18" ht="32.1" customHeight="1" x14ac:dyDescent="0.25">
      <c r="A46" s="61" t="str">
        <f>IF(ISNA(INDEX($E$32:$J$58,MATCH(8,$E$32:$E$58,0),4)),"",INDEX($E$32:$J$58,MATCH(8,$E$32:$E$58,0),4))</f>
        <v/>
      </c>
      <c r="B46" s="63" t="str">
        <f>IF(ISNA(INDEX($E$32:$J$58,MATCH(8,$E$32:$E$58,0),6)),"",INDEX($E$32:$J$58,MATCH(8,$E$32:$E$58,0),6))</f>
        <v/>
      </c>
      <c r="C46" s="62" t="str">
        <f>IF(ISNA(INDEX($E$32:$J$58,MATCH(8,$E$32:$E$58,0),3)),"",INDEX($E$32:$J$58,MATCH(8,$E$32:$E$58,0),3))</f>
        <v/>
      </c>
      <c r="E46" s="22">
        <f>SUM(F32:F46)</f>
        <v>0</v>
      </c>
      <c r="F46" s="22">
        <f>IF(ISNA(I46),0,1)</f>
        <v>0</v>
      </c>
      <c r="G46" s="82">
        <f>US!D90</f>
        <v>0</v>
      </c>
      <c r="H46" s="22" t="e">
        <f>I46&amp;K46&amp;P46</f>
        <v>#N/A</v>
      </c>
      <c r="I46" s="23" t="e">
        <f>VLOOKUP(LEFT(US!$B$87,1)&amp;"."&amp;US!$C$87,D_Mortar,4, FALSE)</f>
        <v>#N/A</v>
      </c>
      <c r="J46" s="23" t="e">
        <f>VLOOKUP(LEFT(US!$B$87,1)&amp;"."&amp;US!$C$87,D_Mortar,5, FALSE)</f>
        <v>#N/A</v>
      </c>
      <c r="K46" s="23" t="str">
        <f>IF(ISNA(M46),"",IF(M46&gt;0," (including 1 "&amp;M46&amp;")",""))</f>
        <v/>
      </c>
      <c r="L46" s="23"/>
      <c r="M46" s="23">
        <f>VLOOKUP(US!$C$88,D_Spotter,4, FALSE)</f>
        <v>0</v>
      </c>
      <c r="N46" s="23" t="e">
        <f>VLOOKUP(LEFT(US!$B$89,1)&amp;"."&amp;US!$C$89,D_Transport,4, FALSE)</f>
        <v>#N/A</v>
      </c>
      <c r="O46" s="23" t="e">
        <f>VLOOKUP(LEFT(US!$B$89,1)&amp;"."&amp;US!$C$89,D_Transport,5, FALSE)</f>
        <v>#N/A</v>
      </c>
      <c r="P46" s="23" t="str">
        <f>IF(ISNA(N46),"",CHAR(10)&amp;" + "&amp;N46&amp;" ("&amp;O46&amp;")")</f>
        <v/>
      </c>
    </row>
    <row r="47" spans="1:18" ht="5.0999999999999996" customHeight="1" x14ac:dyDescent="0.25">
      <c r="A47" s="61"/>
      <c r="B47" s="63"/>
      <c r="C47" s="62"/>
    </row>
    <row r="48" spans="1:18" ht="32.1" customHeight="1" x14ac:dyDescent="0.25">
      <c r="A48" s="61" t="str">
        <f>IF(ISNA(INDEX($E$32:$J$58,MATCH(9,$E$32:$E$58,0),4)),"",INDEX($E$32:$J$58,MATCH(9,$E$32:$E$58,0),4))</f>
        <v/>
      </c>
      <c r="B48" s="63" t="str">
        <f>IF(ISNA(INDEX($E$32:$J$58,MATCH(9,$E$32:$E$58,0),6)),"",INDEX($E$32:$J$58,MATCH(9,$E$32:$E$58,0),6))</f>
        <v/>
      </c>
      <c r="C48" s="62" t="str">
        <f>IF(ISNA(INDEX($E$32:$J$58,MATCH(9,$E$32:$E$58,0),3)),"",INDEX($E$32:$J$58,MATCH(9,$E$32:$E$58,0),3))</f>
        <v/>
      </c>
      <c r="E48" s="22">
        <f>SUM(F32:F48)</f>
        <v>0</v>
      </c>
      <c r="F48" s="22">
        <f>IF(ISNA(I48),0,1)</f>
        <v>0</v>
      </c>
      <c r="G48" s="23">
        <f>US!D94</f>
        <v>0</v>
      </c>
      <c r="H48" s="22" t="e">
        <f>I48&amp;K48&amp;P48</f>
        <v>#N/A</v>
      </c>
      <c r="I48" s="23" t="e">
        <f>VLOOKUP(LEFT(US!$B$92,1)&amp;"."&amp;US!$C$92,D_Sniper,4, FALSE)</f>
        <v>#N/A</v>
      </c>
      <c r="J48" s="23" t="e">
        <f>VLOOKUP(LEFT(US!$B$92,1)&amp;"."&amp;US!$C$92,D_Sniper,5, FALSE)</f>
        <v>#N/A</v>
      </c>
      <c r="K48" s="23"/>
      <c r="N48" s="23" t="e">
        <f>VLOOKUP(LEFT(US!$B$93,1)&amp;"."&amp;US!$C$93,D_Transport,4, FALSE)</f>
        <v>#N/A</v>
      </c>
      <c r="O48" s="23" t="e">
        <f>VLOOKUP(LEFT(US!$B$93,1)&amp;"."&amp;US!$C$93,D_Transport,5, FALSE)</f>
        <v>#N/A</v>
      </c>
      <c r="P48" s="23" t="str">
        <f>IF(ISNA(N48),"",CHAR(10)&amp;" + "&amp;N48&amp;" ("&amp;O48&amp;")")</f>
        <v/>
      </c>
    </row>
    <row r="49" spans="1:16" ht="5.0999999999999996" customHeight="1" x14ac:dyDescent="0.25">
      <c r="A49" s="61"/>
      <c r="B49" s="63"/>
      <c r="C49" s="62"/>
    </row>
    <row r="50" spans="1:16" ht="32.1" customHeight="1" x14ac:dyDescent="0.25">
      <c r="A50" s="61" t="str">
        <f>IF(ISNA(INDEX($E$32:$J$58,MATCH(10,$E$32:$E$58,0),4)),"",INDEX($E$32:$J$58,MATCH(10,$E$32:$E$58,0),4))</f>
        <v/>
      </c>
      <c r="B50" s="63" t="str">
        <f>IF(ISNA(INDEX($E$32:$J$58,MATCH(10,$E$32:$E$58,0),6)),"",INDEX($E$32:$J$58,MATCH(10,$E$32:$E$58,0),6))</f>
        <v/>
      </c>
      <c r="C50" s="62" t="str">
        <f>IF(ISNA(INDEX($E$32:$J$58,MATCH(10,$E$32:$E$58,0),3)),"",INDEX($E$32:$J$58,MATCH(10,$E$32:$E$58,0),3))</f>
        <v/>
      </c>
      <c r="E50" s="22">
        <f>SUM(F32:F50)</f>
        <v>0</v>
      </c>
      <c r="F50" s="22">
        <f>IF(ISNA(I50),0,1)</f>
        <v>0</v>
      </c>
      <c r="G50" s="23">
        <f>US!D98</f>
        <v>0</v>
      </c>
      <c r="H50" s="22" t="e">
        <f>I50&amp;K50&amp;P50</f>
        <v>#N/A</v>
      </c>
      <c r="I50" s="23" t="e">
        <f>VLOOKUP(LEFT(US!$B$96,1)&amp;"."&amp;US!$C$96,D_Flamethrower,4, FALSE)</f>
        <v>#N/A</v>
      </c>
      <c r="J50" s="23" t="e">
        <f>VLOOKUP(LEFT(US!$B$96,1)&amp;"."&amp;US!$C$96,D_Flamethrower,5, FALSE)</f>
        <v>#N/A</v>
      </c>
      <c r="K50" s="23"/>
      <c r="N50" s="23" t="e">
        <f>VLOOKUP(LEFT(US!$B$97,1)&amp;"."&amp;US!$C$97,D_Transport,4, FALSE)</f>
        <v>#N/A</v>
      </c>
      <c r="O50" s="23" t="e">
        <f>VLOOKUP(LEFT(US!$B$97,1)&amp;"."&amp;US!$C$97,D_Transport,5, FALSE)</f>
        <v>#N/A</v>
      </c>
      <c r="P50" s="23" t="str">
        <f>IF(ISNA(N50),"",CHAR(10)&amp;" + "&amp;N50&amp;" ("&amp;O50&amp;")")</f>
        <v/>
      </c>
    </row>
    <row r="51" spans="1:16" ht="5.0999999999999996" customHeight="1" x14ac:dyDescent="0.25">
      <c r="A51" s="61"/>
      <c r="B51" s="63"/>
      <c r="C51" s="62"/>
    </row>
    <row r="52" spans="1:16" ht="32.1" customHeight="1" x14ac:dyDescent="0.25">
      <c r="A52" s="61" t="str">
        <f>IF(ISNA(INDEX($E$32:$J$58,MATCH(11,$E$32:$E$58,0),4)),"",INDEX($E$32:$J$58,MATCH(11,$E$32:$E$58,0),4))</f>
        <v/>
      </c>
      <c r="B52" s="63" t="str">
        <f>IF(ISNA(INDEX($E$32:$J$58,MATCH(11,$E$32:$E$58,0),6)),"",INDEX($E$32:$J$58,MATCH(11,$E$32:$E$58,0),6))</f>
        <v/>
      </c>
      <c r="C52" s="62" t="str">
        <f>IF(ISNA(INDEX($E$32:$J$58,MATCH(11,$E$32:$E$58,0),3)),"",INDEX($E$32:$J$58,MATCH(11,$E$32:$E$58,0),3))</f>
        <v/>
      </c>
      <c r="E52" s="22">
        <f>SUM(F32:F52)</f>
        <v>0</v>
      </c>
      <c r="F52" s="22">
        <f>IF(ISNA(I52),0,1)</f>
        <v>0</v>
      </c>
      <c r="G52" s="23">
        <f>US!D102</f>
        <v>0</v>
      </c>
      <c r="H52" s="22" t="e">
        <f>I52&amp;K52&amp;P52</f>
        <v>#N/A</v>
      </c>
      <c r="I52" s="23" t="e">
        <f>VLOOKUP(LEFT(US!$B$100,1)&amp;"."&amp;US!$C$100,D_AntiTank,4, FALSE)</f>
        <v>#N/A</v>
      </c>
      <c r="J52" s="23" t="e">
        <f>VLOOKUP(LEFT(US!$B$100,1)&amp;"."&amp;US!$C$100,D_AntiTank,5, FALSE)</f>
        <v>#N/A</v>
      </c>
      <c r="K52" s="23"/>
      <c r="N52" s="23" t="e">
        <f>VLOOKUP(LEFT(US!$B$101,1)&amp;"."&amp;US!$C$101,D_Transport,4, FALSE)</f>
        <v>#N/A</v>
      </c>
      <c r="O52" s="23" t="e">
        <f>VLOOKUP(LEFT(US!$B$101,1)&amp;"."&amp;US!$C$101,D_Transport,5, FALSE)</f>
        <v>#N/A</v>
      </c>
      <c r="P52" s="23" t="str">
        <f>IF(ISNA(N52),"",CHAR(10)&amp;" + "&amp;N52&amp;" ("&amp;O52&amp;")")</f>
        <v/>
      </c>
    </row>
    <row r="53" spans="1:16" ht="5.0999999999999996" customHeight="1" x14ac:dyDescent="0.25"/>
    <row r="54" spans="1:16" ht="32.1" customHeight="1" x14ac:dyDescent="0.25">
      <c r="A54" s="77" t="str">
        <f>IF(ISNA(INDEX($E$32:$J$58,MATCH(12,$E$32:$E$58,0),4)),"",INDEX($E$32:$J$58,MATCH(12,$E$32:$E$58,0),4))</f>
        <v/>
      </c>
      <c r="B54" s="63" t="str">
        <f>IF(ISNA(INDEX($E$32:$J$58,MATCH(12,$E$32:$E$58,0),6)),"",INDEX($E$32:$J$58,MATCH(12,$E$32:$E$58,0),6))</f>
        <v/>
      </c>
      <c r="C54" s="62" t="str">
        <f>IF(ISNA(INDEX($E$32:$J$58,MATCH(12,$E$32:$E$58,0),3)),"",INDEX($E$32:$J$58,MATCH(12,$E$32:$E$58,0),3))</f>
        <v/>
      </c>
      <c r="E54" s="22">
        <f>SUM(F32:F54)</f>
        <v>0</v>
      </c>
      <c r="F54" s="22">
        <f>IF(ISNA(I54),0,1)</f>
        <v>0</v>
      </c>
      <c r="G54" s="23">
        <f>US!D107</f>
        <v>0</v>
      </c>
      <c r="H54" s="22" t="e">
        <f>I54&amp;K54&amp;P54</f>
        <v>#N/A</v>
      </c>
      <c r="I54" s="23" t="e">
        <f>VLOOKUP(LEFT(US!$B$104,1)&amp;"."&amp;US!$C$104,D_BigGun,4, FALSE)</f>
        <v>#N/A</v>
      </c>
      <c r="J54" s="23" t="e">
        <f>VLOOKUP(LEFT(US!$B$104,1)&amp;"."&amp;US!$C$104,D_BigGun,5, FALSE)</f>
        <v>#N/A</v>
      </c>
      <c r="K54" s="23" t="str">
        <f>IF(ISNA(M54),"",IF(M54&gt;0," (including 1 "&amp;M54&amp;")",""))</f>
        <v/>
      </c>
      <c r="M54" s="23">
        <f>VLOOKUP(US!$C$105,D_Spotter,4, FALSE)</f>
        <v>0</v>
      </c>
      <c r="N54" s="23" t="e">
        <f>VLOOKUP(LEFT(US!$B$106,1)&amp;"."&amp;US!$C$106,D_Transport,4, FALSE)</f>
        <v>#N/A</v>
      </c>
      <c r="O54" s="23" t="e">
        <f>VLOOKUP(LEFT(US!$B$106,1)&amp;"."&amp;US!$C$106,D_Transport,5, FALSE)</f>
        <v>#N/A</v>
      </c>
      <c r="P54" s="23" t="str">
        <f>IF(ISNA(N54),"",CHAR(10)&amp;" + "&amp;N54&amp;" ("&amp;O54&amp;")")</f>
        <v/>
      </c>
    </row>
    <row r="55" spans="1:16" ht="5.0999999999999996" customHeight="1" x14ac:dyDescent="0.25">
      <c r="A55" s="83"/>
      <c r="B55" s="84"/>
      <c r="C55" s="85"/>
    </row>
    <row r="56" spans="1:16" x14ac:dyDescent="0.25">
      <c r="A56" s="77" t="str">
        <f>IF(ISNA(INDEX($E$32:$J$58,MATCH(13,$E$32:$E$58,0),4)),"",INDEX($E$32:$J$58,MATCH(13,$E$32:$E$58,0),4))</f>
        <v/>
      </c>
      <c r="B56" s="63" t="str">
        <f>IF(ISNA(INDEX($E$32:$J$58,MATCH(13,$E$32:$E$58,0),6)),"",INDEX($E$32:$J$58,MATCH(13,$E$32:$E$58,0),6))</f>
        <v/>
      </c>
      <c r="C56" s="62" t="str">
        <f>IF(ISNA(INDEX($E$32:$J$58,MATCH(13,$E$32:$E$58,0),3)),"",INDEX($E$32:$J$58,MATCH(13,$E$32:$E$58,0),3))</f>
        <v/>
      </c>
      <c r="E56" s="22">
        <f>SUM(F32:F56)</f>
        <v>0</v>
      </c>
      <c r="F56" s="22">
        <f>IF(ISNA(I56),0,1)</f>
        <v>0</v>
      </c>
      <c r="G56" s="23">
        <f>US!D109</f>
        <v>0</v>
      </c>
      <c r="H56" s="22" t="e">
        <f>I56&amp;K56&amp;P56</f>
        <v>#N/A</v>
      </c>
      <c r="I56" s="23" t="e">
        <f>VLOOKUP(LEFT(US!$B$109,1)&amp;"."&amp;US!$C$109,D_ACar,4, FALSE)</f>
        <v>#N/A</v>
      </c>
      <c r="J56" s="23" t="e">
        <f>VLOOKUP(LEFT(US!$B$109,1)&amp;"."&amp;US!$C$109,D_ACar,5, FALSE)</f>
        <v>#N/A</v>
      </c>
      <c r="K56" s="23"/>
    </row>
    <row r="57" spans="1:16" ht="5.0999999999999996" customHeight="1" x14ac:dyDescent="0.25">
      <c r="A57" s="83"/>
      <c r="B57" s="84"/>
      <c r="C57" s="85"/>
    </row>
    <row r="58" spans="1:16" x14ac:dyDescent="0.25">
      <c r="A58" s="77" t="str">
        <f>IF(ISNA(INDEX($E$32:$J$58,MATCH(14,$E$32:$E$58,0),4)),"",INDEX($E$32:$J$58,MATCH(14,$E$32:$E$58,0),4))</f>
        <v/>
      </c>
      <c r="B58" s="63" t="str">
        <f>IF(ISNA(INDEX($E$32:$J$58,MATCH(14,$E$32:$E$58,0),6)),"",INDEX($E$32:$J$58,MATCH(14,$E$32:$E$58,0),6))</f>
        <v/>
      </c>
      <c r="C58" s="62" t="str">
        <f>IF(ISNA(INDEX($E$32:$J$58,MATCH(14,$E$32:$E$58,0),3)),"",INDEX($E$32:$J$58,MATCH(14,$E$32:$E$58,0),3))</f>
        <v/>
      </c>
      <c r="E58" s="22">
        <f>SUM(F32:F58)</f>
        <v>0</v>
      </c>
      <c r="F58" s="22">
        <f>IF(ISNA(I58),0,1)</f>
        <v>0</v>
      </c>
      <c r="G58" s="23">
        <f>US!D114</f>
        <v>0</v>
      </c>
      <c r="H58" s="22" t="e">
        <f>I58&amp;K58&amp;P58</f>
        <v>#N/A</v>
      </c>
      <c r="I58" s="23" t="e">
        <f>VLOOKUP(LEFT(US!$B$111,1)&amp;"."&amp;US!$C$111,D_Tank,4, FALSE)</f>
        <v>#N/A</v>
      </c>
      <c r="J58" s="23" t="e">
        <f>VLOOKUP(LEFT(US!$B$111,1)&amp;"."&amp;US!$C$111,D_Tank,5, FALSE)</f>
        <v>#N/A</v>
      </c>
      <c r="K58" s="23" t="str">
        <f>IF(ISNA(M58),"",IF(M58&gt;0," ("&amp;M58&amp;")",""))</f>
        <v/>
      </c>
      <c r="M58" s="23">
        <f>VLOOKUP(US!$C$112,D_TankOptions,4, FALSE)</f>
        <v>0</v>
      </c>
      <c r="N58" s="23">
        <f>VLOOKUP(US!$C$113,D_TankOptions1,4, FALSE)</f>
        <v>0</v>
      </c>
      <c r="P58" s="23" t="str">
        <f>IF(ISNA(N58),"",IF(N58&gt;0," + ("&amp;N58&amp;")",""))</f>
        <v/>
      </c>
    </row>
    <row r="59" spans="1:16" x14ac:dyDescent="0.25">
      <c r="A59" s="49"/>
      <c r="B59" s="50"/>
      <c r="C59" s="51"/>
    </row>
    <row r="60" spans="1:16" x14ac:dyDescent="0.25">
      <c r="A60" s="104" t="s">
        <v>133</v>
      </c>
      <c r="B60" s="105"/>
      <c r="C60" s="43">
        <f>SUM(C11:C58)</f>
        <v>0</v>
      </c>
    </row>
    <row r="61" spans="1:16" x14ac:dyDescent="0.25">
      <c r="A61" s="104" t="s">
        <v>137</v>
      </c>
      <c r="B61" s="105"/>
      <c r="C61" s="43">
        <f>C60+'2nd Platoon OOB'!C60</f>
        <v>0</v>
      </c>
    </row>
    <row r="62" spans="1:16" x14ac:dyDescent="0.25">
      <c r="A62" s="66" t="s">
        <v>138</v>
      </c>
    </row>
  </sheetData>
  <sheetProtection password="D83F" sheet="1" objects="1" scenarios="1" selectLockedCells="1" selectUnlockedCells="1"/>
  <mergeCells count="20">
    <mergeCell ref="A28:B28"/>
    <mergeCell ref="A8:C8"/>
    <mergeCell ref="C18:C19"/>
    <mergeCell ref="A19:B19"/>
    <mergeCell ref="A15:B15"/>
    <mergeCell ref="C14:C15"/>
    <mergeCell ref="A17:B17"/>
    <mergeCell ref="A9:C9"/>
    <mergeCell ref="A21:C21"/>
    <mergeCell ref="C23:C24"/>
    <mergeCell ref="A24:B24"/>
    <mergeCell ref="C26:C27"/>
    <mergeCell ref="A27:B27"/>
    <mergeCell ref="A22:B22"/>
    <mergeCell ref="A25:B25"/>
    <mergeCell ref="A61:B61"/>
    <mergeCell ref="A60:B60"/>
    <mergeCell ref="A31:B31"/>
    <mergeCell ref="C29:C30"/>
    <mergeCell ref="A30:B30"/>
  </mergeCell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Z62"/>
  <sheetViews>
    <sheetView workbookViewId="0">
      <selection activeCell="D20" sqref="D1:Z1048576"/>
    </sheetView>
  </sheetViews>
  <sheetFormatPr defaultColWidth="8.85546875" defaultRowHeight="15" x14ac:dyDescent="0.25"/>
  <cols>
    <col min="1" max="1" width="75.7109375" customWidth="1"/>
    <col min="2" max="2" width="29.7109375" customWidth="1"/>
    <col min="3" max="3" width="10.7109375" customWidth="1"/>
    <col min="4" max="4" width="9.42578125" hidden="1" customWidth="1"/>
    <col min="5" max="8" width="8.85546875" hidden="1" customWidth="1"/>
    <col min="9" max="9" width="22.85546875" hidden="1" customWidth="1"/>
    <col min="10" max="10" width="10.7109375" hidden="1" customWidth="1"/>
    <col min="11" max="11" width="12.5703125" hidden="1" customWidth="1"/>
    <col min="12" max="12" width="4.42578125" hidden="1" customWidth="1"/>
    <col min="13" max="13" width="7" hidden="1" customWidth="1"/>
    <col min="14" max="14" width="16" hidden="1" customWidth="1"/>
    <col min="15" max="15" width="1.85546875" hidden="1" customWidth="1"/>
    <col min="16" max="16" width="11.85546875" hidden="1" customWidth="1"/>
    <col min="17" max="17" width="1.85546875" hidden="1" customWidth="1"/>
    <col min="18" max="18" width="15.85546875" hidden="1" customWidth="1"/>
    <col min="19" max="19" width="4.42578125" hidden="1" customWidth="1"/>
    <col min="20" max="20" width="17.28515625" hidden="1" customWidth="1"/>
    <col min="21" max="21" width="14.7109375" hidden="1" customWidth="1"/>
    <col min="22" max="26" width="8.85546875" hidden="1" customWidth="1"/>
    <col min="27" max="28" width="8.85546875" customWidth="1"/>
  </cols>
  <sheetData>
    <row r="8" spans="1:25" s="17" customFormat="1" ht="26.25" x14ac:dyDescent="0.4">
      <c r="A8" s="112" t="s">
        <v>285</v>
      </c>
      <c r="B8" s="112"/>
      <c r="C8" s="112"/>
      <c r="D8" s="21"/>
      <c r="E8" s="17" t="s">
        <v>88</v>
      </c>
    </row>
    <row r="9" spans="1:25" ht="18.75" x14ac:dyDescent="0.3">
      <c r="A9" s="113" t="s">
        <v>92</v>
      </c>
      <c r="B9" s="114"/>
      <c r="C9" s="115"/>
    </row>
    <row r="10" spans="1:25" x14ac:dyDescent="0.25">
      <c r="A10" s="59" t="s">
        <v>69</v>
      </c>
      <c r="B10" s="42" t="s">
        <v>61</v>
      </c>
      <c r="C10" s="43" t="s">
        <v>40</v>
      </c>
    </row>
    <row r="11" spans="1:25" ht="32.1" customHeight="1" x14ac:dyDescent="0.25">
      <c r="A11" s="44" t="str">
        <f>IF(ISNA(INDEX($E11:$I11,MATCH(1,$E11:$I11,0),4)),"",INDEX($E11:$I11,MATCH(1,$E11:$I11,0),4))</f>
        <v/>
      </c>
      <c r="B11" s="54" t="str">
        <f>IF(ISNA(INDEX($E11:$J11,MATCH(1,$E11:$J11,0),6)),"",INDEX($E11:$J11,MATCH(1,$E11:$J11,0),6))</f>
        <v/>
      </c>
      <c r="C11" s="60" t="str">
        <f>IF(US!K16&gt;0,US!K16,"")</f>
        <v/>
      </c>
      <c r="D11" s="17"/>
      <c r="E11" s="22">
        <f>SUM(F11)</f>
        <v>0</v>
      </c>
      <c r="F11" s="22">
        <f>IF(ISNA(I11),0,1)</f>
        <v>0</v>
      </c>
      <c r="G11" s="22"/>
      <c r="H11" s="22" t="e">
        <f>I11&amp;K11&amp;P11</f>
        <v>#N/A</v>
      </c>
      <c r="I11" s="23" t="e">
        <f>VLOOKUP(LEFT(US!$I$13,1)&amp;"."&amp;US!$J$13,D_Officers,4, FALSE)</f>
        <v>#N/A</v>
      </c>
      <c r="J11" s="23" t="e">
        <f>VLOOKUP(LEFT(US!$I$13,1)&amp;"."&amp;US!$J$13,D_Officers,5, FALSE)</f>
        <v>#N/A</v>
      </c>
      <c r="K11" s="23" t="str">
        <f>IF(ISNA(M11),""," "&amp;M11)</f>
        <v/>
      </c>
      <c r="L11" s="23" t="e">
        <f>VLOOKUP(LEFT(US!$I$14,1)&amp;"."&amp;US!$J$14,D_AddMen,5, FALSE)</f>
        <v>#N/A</v>
      </c>
      <c r="M11" s="23" t="e">
        <f>VLOOKUP(LEFT(US!$I$14,1)&amp;"."&amp;US!$J$14,D_AddMen,4, FALSE)</f>
        <v>#N/A</v>
      </c>
      <c r="N11" s="23" t="e">
        <f>VLOOKUP(LEFT(US!$I$15,1)&amp;"."&amp;US!$J$15,D_Transport,4, FALSE)</f>
        <v>#N/A</v>
      </c>
      <c r="O11" s="23" t="e">
        <f>VLOOKUP(LEFT(US!$I$15,1)&amp;"."&amp;US!$J$15,D_Transport,5, FALSE)</f>
        <v>#N/A</v>
      </c>
      <c r="P11" s="23" t="str">
        <f>IF(ISNA(N11),"",CHAR(10)&amp;" + "&amp;N11&amp;" ("&amp;O11&amp;")")</f>
        <v/>
      </c>
    </row>
    <row r="12" spans="1:25" ht="5.0999999999999996" customHeight="1" x14ac:dyDescent="0.25">
      <c r="A12" s="49"/>
      <c r="B12" s="50"/>
      <c r="C12" s="51"/>
    </row>
    <row r="13" spans="1:25" x14ac:dyDescent="0.25">
      <c r="A13" s="59" t="s">
        <v>70</v>
      </c>
      <c r="B13" s="59" t="s">
        <v>61</v>
      </c>
      <c r="C13" s="42"/>
    </row>
    <row r="14" spans="1:25" x14ac:dyDescent="0.25">
      <c r="A14" s="41" t="str">
        <f>IF(ISNA(INDEX($E14:$I14,MATCH(1,$E14:$I14,0),4)),"",INDEX($E14:$I14,MATCH(1,$E14:$I14,0),4))</f>
        <v/>
      </c>
      <c r="B14" s="20" t="str">
        <f>IF(ISNA(INDEX($E14:$J14,MATCH(1,$E14:$J14,0),6)),"",INDEX($E14:$J14,MATCH(1,$E14:$J14,0),6))</f>
        <v/>
      </c>
      <c r="C14" s="108" t="str">
        <f>IF(US!K23&gt;0,US!K23,"")</f>
        <v/>
      </c>
      <c r="E14" s="22">
        <f>SUM(F14)</f>
        <v>0</v>
      </c>
      <c r="F14" s="22">
        <f>IF(ISNA(I14),0,1)</f>
        <v>0</v>
      </c>
      <c r="G14" s="22"/>
      <c r="H14" s="22" t="e">
        <f>I14&amp;K14</f>
        <v>#N/A</v>
      </c>
      <c r="I14" s="23" t="e">
        <f>VLOOKUP(LEFT(US!$I$18,1)&amp;"."&amp;US!$J$18,D_Men,4,FALSE)</f>
        <v>#N/A</v>
      </c>
      <c r="J14" s="23" t="str">
        <f>VLOOKUP(US!$I$18,UnitType,1, FALSE)</f>
        <v>-</v>
      </c>
      <c r="K14" s="23"/>
      <c r="L14" s="23" t="e">
        <f>VLOOKUP(LEFT(US!$I$18,1)&amp;"."&amp;US!$J$18,D_Men,3,FALSE)-O14-Q14-S14</f>
        <v>#N/A</v>
      </c>
      <c r="M14" s="23" t="e">
        <f>IF(L14=0,"",L14&amp;" Rifles")</f>
        <v>#N/A</v>
      </c>
      <c r="N14" s="23" t="str">
        <f>IF(VLOOKUP(US!$J19,D_AutoR,3,FALSE)=0,"",", "&amp;VLOOKUP(US!$J19,D_AutoR,4,FALSE))</f>
        <v/>
      </c>
      <c r="O14" s="23">
        <f>VLOOKUP(US!$J19,D_AutoR,3,FALSE)</f>
        <v>0</v>
      </c>
      <c r="P14" s="23"/>
      <c r="Q14" s="23"/>
      <c r="R14" s="23" t="str">
        <f>IF(VLOOKUP(US!$J20,D_SMG,3,FALSE)=0,"",", "&amp;VLOOKUP(US!$J20,D_SMG,4,FALSE))</f>
        <v/>
      </c>
      <c r="S14" s="23">
        <f>VLOOKUP(US!$J20,D_SMG,3,FALSE)</f>
        <v>0</v>
      </c>
      <c r="T14" s="23" t="str">
        <f>IF(VLOOKUP(US!$J21,D_ATG,3,FALSE)=0,"",", "&amp;VLOOKUP(US!$J21,D_ATG,4,FALSE))</f>
        <v/>
      </c>
      <c r="U14" s="23"/>
      <c r="V14" s="23" t="e">
        <f>M14&amp;N14&amp;P14&amp;R14&amp;T14&amp;U14</f>
        <v>#N/A</v>
      </c>
      <c r="W14" s="23" t="e">
        <f>VLOOKUP(LEFT(US!$I$22,1)&amp;"."&amp;US!$J$22,D_Transport,4, FALSE)</f>
        <v>#N/A</v>
      </c>
      <c r="X14" s="23" t="e">
        <f>VLOOKUP(LEFT(US!$I$22,1)&amp;"."&amp;US!$J$22,D_Transport,5, FALSE)</f>
        <v>#N/A</v>
      </c>
      <c r="Y14" s="23" t="str">
        <f>IF(ISNA(W14),"",CHAR(10)&amp;" + "&amp;W14&amp;" ("&amp;X14&amp;")")</f>
        <v/>
      </c>
    </row>
    <row r="15" spans="1:25" ht="48" customHeight="1" x14ac:dyDescent="0.25">
      <c r="A15" s="110" t="str">
        <f>IF(ISNA(V14),"",IF(A14&lt;&gt;"","armed with: "&amp;V14&amp;" "&amp;Y14,""))</f>
        <v/>
      </c>
      <c r="B15" s="111"/>
      <c r="C15" s="109"/>
    </row>
    <row r="16" spans="1:25" ht="5.0999999999999996" customHeight="1" x14ac:dyDescent="0.25">
      <c r="A16" s="52"/>
      <c r="B16" s="48"/>
      <c r="C16" s="53"/>
    </row>
    <row r="17" spans="1:25" x14ac:dyDescent="0.25">
      <c r="A17" s="106" t="s">
        <v>87</v>
      </c>
      <c r="B17" s="107"/>
      <c r="C17" s="42"/>
    </row>
    <row r="18" spans="1:25" x14ac:dyDescent="0.25">
      <c r="A18" s="41" t="str">
        <f>IF(ISNA(INDEX($E18:$I18,MATCH(1,$E18:$I18,0),4)),"",INDEX($E18:$I18,MATCH(1,$E18:$I18,0),4))</f>
        <v/>
      </c>
      <c r="B18" s="20" t="str">
        <f>IF(ISNA(INDEX($E18:$J18,MATCH(1,$E18:$J18,0),6)),"",INDEX($E18:$J18,MATCH(1,$E18:$J18,0),6))</f>
        <v/>
      </c>
      <c r="C18" s="108" t="str">
        <f>IF(US!K30&gt;0,US!K30,"")</f>
        <v/>
      </c>
      <c r="E18" s="22">
        <f>SUM(F18)</f>
        <v>0</v>
      </c>
      <c r="F18" s="22">
        <f>IF(ISNA(I18),0,1)</f>
        <v>0</v>
      </c>
      <c r="G18" s="22"/>
      <c r="H18" s="22" t="e">
        <f>I18&amp;K18</f>
        <v>#N/A</v>
      </c>
      <c r="I18" s="23" t="e">
        <f>VLOOKUP(LEFT(US!$I$25,1)&amp;"."&amp;US!$J$25,D_Men,4,FALSE)</f>
        <v>#N/A</v>
      </c>
      <c r="J18" s="23" t="str">
        <f>VLOOKUP(US!$I$25,UnitType,1, FALSE)</f>
        <v>-</v>
      </c>
      <c r="K18" s="23"/>
      <c r="L18" s="23" t="e">
        <f>VLOOKUP(LEFT(US!$I$25,1)&amp;"."&amp;US!$J$25,D_Men,3,FALSE)-O18-Q18-S18</f>
        <v>#N/A</v>
      </c>
      <c r="M18" s="23" t="e">
        <f>IF(L18=0,"",L18&amp;" Rifles")</f>
        <v>#N/A</v>
      </c>
      <c r="N18" s="23" t="str">
        <f>IF(VLOOKUP(US!$J26,D_AutoR,3,FALSE)=0,"",", "&amp;VLOOKUP(US!$J26,D_AutoR,4,FALSE))</f>
        <v/>
      </c>
      <c r="O18" s="23">
        <f>VLOOKUP(US!$J26,D_AutoR,3,FALSE)</f>
        <v>0</v>
      </c>
      <c r="P18" s="23"/>
      <c r="Q18" s="23"/>
      <c r="R18" s="23" t="str">
        <f>IF(VLOOKUP(US!$J27,D_SMG,3,FALSE)=0,"",", "&amp;VLOOKUP(US!$J27,D_SMG,4,FALSE))</f>
        <v/>
      </c>
      <c r="S18" s="23">
        <f>VLOOKUP(US!$J27,D_SMG,3,FALSE)</f>
        <v>0</v>
      </c>
      <c r="T18" s="23" t="str">
        <f>IF(VLOOKUP(US!$J28,D_ATG,3,FALSE)=0,"",", "&amp;VLOOKUP(US!$J28,D_ATG,4,FALSE))</f>
        <v/>
      </c>
      <c r="U18" s="23"/>
      <c r="V18" s="23" t="e">
        <f>M18&amp;N18&amp;P18&amp;R18&amp;T18&amp;U18</f>
        <v>#N/A</v>
      </c>
      <c r="W18" s="23" t="e">
        <f>VLOOKUP(LEFT(US!$I$29,1)&amp;"."&amp;US!$J$29,D_Transport,4, FALSE)</f>
        <v>#N/A</v>
      </c>
      <c r="X18" s="23" t="e">
        <f>VLOOKUP(LEFT(US!$I$29,1)&amp;"."&amp;US!$J$29,D_Transport,5, FALSE)</f>
        <v>#N/A</v>
      </c>
      <c r="Y18" s="23" t="str">
        <f>IF(ISNA(W18),"",CHAR(10)&amp;" + "&amp;W18&amp;" ("&amp;X18&amp;")")</f>
        <v/>
      </c>
    </row>
    <row r="19" spans="1:25" ht="48" customHeight="1" x14ac:dyDescent="0.25">
      <c r="A19" s="110" t="str">
        <f>IF(ISNA(V18),"",IF(A18&lt;&gt;"","armed with: "&amp;V18&amp;" "&amp;Y18,""))</f>
        <v/>
      </c>
      <c r="B19" s="111"/>
      <c r="C19" s="109"/>
    </row>
    <row r="20" spans="1:25" ht="5.0999999999999996" customHeight="1" x14ac:dyDescent="0.25">
      <c r="A20" s="49"/>
      <c r="B20" s="50"/>
      <c r="C20" s="51"/>
    </row>
    <row r="21" spans="1:25" ht="18.75" x14ac:dyDescent="0.3">
      <c r="A21" s="116" t="s">
        <v>127</v>
      </c>
      <c r="B21" s="117"/>
      <c r="C21" s="118"/>
    </row>
    <row r="22" spans="1:25" x14ac:dyDescent="0.25">
      <c r="A22" s="106" t="s">
        <v>128</v>
      </c>
      <c r="B22" s="107"/>
      <c r="C22" s="42"/>
    </row>
    <row r="23" spans="1:25" x14ac:dyDescent="0.25">
      <c r="A23" s="41" t="str">
        <f>IF(ISNA(INDEX($E23:$I29,MATCH(1,$E23:$E29,0),4)),"",INDEX($E23:$I29,MATCH(1,$E23:$E29,0),4))</f>
        <v/>
      </c>
      <c r="B23" s="20" t="str">
        <f>IF(ISNA(INDEX($E23:$J29,MATCH(1,$E23:$E29,0),6)),"",INDEX($E23:$J29,MATCH(1,$E23:$E29,0),6))</f>
        <v/>
      </c>
      <c r="C23" s="108" t="str">
        <f>IF(ISNA(INDEX($E23:$J29,MATCH(1,$E23:$E29,0),3)),"",INDEX($E23:$J29,MATCH(1,$E23:$E29,0),3))</f>
        <v/>
      </c>
      <c r="E23" s="22">
        <f>SUM(F23)</f>
        <v>0</v>
      </c>
      <c r="F23" s="22">
        <f>IF(ISNA(I23),0,1)</f>
        <v>0</v>
      </c>
      <c r="G23" s="22">
        <f>US!K40</f>
        <v>0</v>
      </c>
      <c r="H23" s="22" t="e">
        <f>I23&amp;K23</f>
        <v>#N/A</v>
      </c>
      <c r="I23" s="23" t="e">
        <f>VLOOKUP(LEFT(US!$I$35,1)&amp;"."&amp;US!$J$35,D_Men,4,FALSE)</f>
        <v>#N/A</v>
      </c>
      <c r="J23" s="23" t="str">
        <f>VLOOKUP(US!$I$35,UnitType,1, FALSE)</f>
        <v>-</v>
      </c>
      <c r="K23" s="23"/>
      <c r="L23" s="23" t="e">
        <f>VLOOKUP(LEFT(US!$I$35,1)&amp;"."&amp;US!$J$35,D_Men,3,FALSE)-O23-Q23-S23</f>
        <v>#N/A</v>
      </c>
      <c r="M23" s="23" t="e">
        <f>IF(L23=0,"",L23&amp;" Rifles")</f>
        <v>#N/A</v>
      </c>
      <c r="N23" s="23" t="str">
        <f>IF(VLOOKUP(US!$J36,D_AutoR,3,FALSE)=0,"",", "&amp;VLOOKUP(US!$J36,D_AutoR,4,FALSE))</f>
        <v/>
      </c>
      <c r="O23" s="23">
        <f>VLOOKUP(US!$J36,D_AutoR,3,FALSE)</f>
        <v>0</v>
      </c>
      <c r="P23" s="23"/>
      <c r="Q23" s="23"/>
      <c r="R23" s="23" t="str">
        <f>IF(VLOOKUP(US!$J37,D_SMG,3,FALSE)=0,"",", "&amp;VLOOKUP(US!$J37,D_SMG,4,FALSE))</f>
        <v/>
      </c>
      <c r="S23" s="23">
        <f>VLOOKUP(US!$J37,D_SMG,3,FALSE)</f>
        <v>0</v>
      </c>
      <c r="T23" s="23" t="str">
        <f>IF(VLOOKUP(US!$J38,D_ATG,3,FALSE)=0,"",", "&amp;VLOOKUP(US!$J38,D_ATG,4,FALSE))</f>
        <v/>
      </c>
      <c r="U23" s="23"/>
      <c r="V23" s="23" t="e">
        <f>M23&amp;N23&amp;P23&amp;R23&amp;T23&amp;U23</f>
        <v>#N/A</v>
      </c>
      <c r="W23" s="23" t="e">
        <f>VLOOKUP(LEFT(US!$I$39,1)&amp;"."&amp;US!$J$39,D_Transport,4, FALSE)</f>
        <v>#N/A</v>
      </c>
      <c r="X23" s="23" t="e">
        <f>VLOOKUP(LEFT(US!$I$39,1)&amp;"."&amp;US!$J$39,D_Transport,5, FALSE)</f>
        <v>#N/A</v>
      </c>
      <c r="Y23" s="23" t="str">
        <f>IF(ISNA(W23),"",CHAR(10)&amp;" + "&amp;W23&amp;" ("&amp;X23&amp;")")</f>
        <v/>
      </c>
    </row>
    <row r="24" spans="1:25" ht="48" customHeight="1" x14ac:dyDescent="0.25">
      <c r="A24" s="110" t="str">
        <f>IF(ISNA(INDEX($E$23:$Y$29,MATCH(1,$E$23:$E$29,0),4)),"","armed with: "&amp;INDEX($E$23:$Y$29,MATCH(1,$E$23:$E$29,0),18)&amp;" "&amp;INDEX($E$23:$Y$29,MATCH(1,$E$23:$E$29,0),21))</f>
        <v/>
      </c>
      <c r="B24" s="111"/>
      <c r="C24" s="109"/>
    </row>
    <row r="25" spans="1:25" x14ac:dyDescent="0.25">
      <c r="A25" s="106" t="s">
        <v>129</v>
      </c>
      <c r="B25" s="107"/>
      <c r="C25" s="42"/>
    </row>
    <row r="26" spans="1:25" x14ac:dyDescent="0.25">
      <c r="A26" s="41" t="str">
        <f>IF(ISNA(INDEX($E23:$I29,MATCH(2,$E23:$E29,0),4)),"",INDEX($E23:$I29,MATCH(2,$E23:$E29,0),4))</f>
        <v/>
      </c>
      <c r="B26" s="20" t="str">
        <f>IF(ISNA(INDEX($E23:$J29,MATCH(2,$E23:$E29,0),6)),"",INDEX($E23:$J29,MATCH(2,$E23:$E29,0),6))</f>
        <v/>
      </c>
      <c r="C26" s="108" t="str">
        <f>IF(ISNA(INDEX($E23:$J29,MATCH(2,$E23:$E29,0),3)),"",INDEX($E23:$J29,MATCH(2,$E23:$E29,0),3))</f>
        <v/>
      </c>
      <c r="E26" s="22">
        <f>SUM(F23:F26)</f>
        <v>0</v>
      </c>
      <c r="F26" s="22">
        <f>IF(ISNA(I26),0,1)</f>
        <v>0</v>
      </c>
      <c r="G26" s="22">
        <f>US!K47</f>
        <v>0</v>
      </c>
      <c r="H26" s="22" t="e">
        <f>I26&amp;K26</f>
        <v>#N/A</v>
      </c>
      <c r="I26" s="23" t="e">
        <f>VLOOKUP(LEFT(US!$I$42,1)&amp;"."&amp;US!$J$42,D_Men,4, FALSE)</f>
        <v>#N/A</v>
      </c>
      <c r="J26" s="23" t="str">
        <f>VLOOKUP(US!$I$42,UnitType,1, FALSE)</f>
        <v>-</v>
      </c>
      <c r="K26" s="23"/>
      <c r="L26" s="23" t="e">
        <f>VLOOKUP(LEFT(US!$I$42,1)&amp;"."&amp;US!$J$42,D_Men,3,FALSE)-O26-Q26-S26</f>
        <v>#N/A</v>
      </c>
      <c r="M26" s="23" t="e">
        <f>IF(L26=0,"",L26&amp;" Rifles")</f>
        <v>#N/A</v>
      </c>
      <c r="N26" s="23" t="str">
        <f>IF(VLOOKUP(US!$J43,D_AutoR,3,FALSE)=0,"",", "&amp;VLOOKUP(US!$J43,D_AutoR,4,FALSE))</f>
        <v/>
      </c>
      <c r="O26" s="23">
        <f>VLOOKUP(US!$J43,D_AutoR,3,FALSE)</f>
        <v>0</v>
      </c>
      <c r="P26" s="23"/>
      <c r="Q26" s="23"/>
      <c r="R26" s="23" t="str">
        <f>IF(VLOOKUP(US!$J44,D_SMG,3,FALSE)=0,"",", "&amp;VLOOKUP(US!$J44,D_SMG,4,FALSE))</f>
        <v/>
      </c>
      <c r="S26" s="23">
        <f>VLOOKUP(US!$J44,D_SMG,3,FALSE)</f>
        <v>0</v>
      </c>
      <c r="T26" s="23" t="str">
        <f>IF(VLOOKUP(US!$J45,D_ATG,3,FALSE)=0,"",", "&amp;VLOOKUP(US!$J45,D_ATG,4,FALSE))</f>
        <v/>
      </c>
      <c r="U26" s="23"/>
      <c r="V26" s="23" t="e">
        <f>M26&amp;N26&amp;P26&amp;R26&amp;T26&amp;U26</f>
        <v>#N/A</v>
      </c>
      <c r="W26" s="23" t="e">
        <f>VLOOKUP(LEFT(US!$I$46,1)&amp;"."&amp;US!$J$46,D_Transport,4, FALSE)</f>
        <v>#N/A</v>
      </c>
      <c r="X26" s="23" t="e">
        <f>VLOOKUP(LEFT(US!$I$46,1)&amp;"."&amp;US!$J$46,D_Transport,5, FALSE)</f>
        <v>#N/A</v>
      </c>
      <c r="Y26" s="23" t="str">
        <f>IF(ISNA(W26),"",CHAR(10)&amp;" + "&amp;W26&amp;" ("&amp;X26&amp;")")</f>
        <v/>
      </c>
    </row>
    <row r="27" spans="1:25" ht="48" customHeight="1" x14ac:dyDescent="0.25">
      <c r="A27" s="110" t="str">
        <f>IF(ISNA(INDEX($E$23:$Y$29,MATCH(2,$E$23:$E$29,0),4)),"","armed with: "&amp;INDEX($E$23:$Y$29,MATCH(2,$E$23:$E$29,0),18)&amp;" "&amp;INDEX($E$23:$Y$29,MATCH(2,$E$23:$E$29,0),21))</f>
        <v/>
      </c>
      <c r="B27" s="111"/>
      <c r="C27" s="109"/>
    </row>
    <row r="28" spans="1:25" x14ac:dyDescent="0.25">
      <c r="A28" s="106" t="s">
        <v>130</v>
      </c>
      <c r="B28" s="107"/>
      <c r="C28" s="42"/>
    </row>
    <row r="29" spans="1:25" x14ac:dyDescent="0.25">
      <c r="A29" s="41" t="str">
        <f>IF(ISNA(INDEX($E23:$I29,MATCH(3,$E23:$E29,0),4)),"",INDEX($E23:$I29,MATCH(3,$E23:$E29,0),4))</f>
        <v/>
      </c>
      <c r="B29" s="20" t="str">
        <f>IF(ISNA(INDEX($E23:$J23,MATCH(3,$E23:$E29,0),6)),"",INDEX($E23:$J29,MATCH(3,$E23:$E29,0),6))</f>
        <v/>
      </c>
      <c r="C29" s="108" t="str">
        <f>IF(ISNA(INDEX($E23:$J29,MATCH(3,$E23:$E29,0),3)),"",INDEX($E23:$J29,MATCH(3,$E23:$E29,0),3))</f>
        <v/>
      </c>
      <c r="E29" s="22">
        <f>SUM(F23:F29)</f>
        <v>0</v>
      </c>
      <c r="F29" s="22">
        <f>IF(ISNA(I29),0,1)</f>
        <v>0</v>
      </c>
      <c r="G29" s="22">
        <f>US!K54</f>
        <v>0</v>
      </c>
      <c r="H29" s="22" t="e">
        <f>I29&amp;K29</f>
        <v>#N/A</v>
      </c>
      <c r="I29" s="23" t="e">
        <f>VLOOKUP(LEFT(US!$I$49,1)&amp;"."&amp;US!$J$49,D_Men,4, FALSE)</f>
        <v>#N/A</v>
      </c>
      <c r="J29" s="23" t="str">
        <f>VLOOKUP(US!$I$49,UnitType,1, FALSE)</f>
        <v>-</v>
      </c>
      <c r="K29" s="23"/>
      <c r="L29" s="23" t="e">
        <f>VLOOKUP(LEFT(US!$I$49,1)&amp;"."&amp;US!$J$49,D_Men,3,FALSE)-O29-Q29-S29</f>
        <v>#N/A</v>
      </c>
      <c r="M29" s="23" t="e">
        <f>IF(L29=0,"",L29&amp;" Rifles")</f>
        <v>#N/A</v>
      </c>
      <c r="N29" s="23" t="str">
        <f>IF(VLOOKUP(US!$J50,D_AutoR,3,FALSE)=0,"",", "&amp;VLOOKUP(US!$J50,D_AutoR,4,FALSE))</f>
        <v/>
      </c>
      <c r="O29" s="23">
        <f>VLOOKUP(US!$J50,D_AutoR,3,FALSE)</f>
        <v>0</v>
      </c>
      <c r="P29" s="23"/>
      <c r="Q29" s="23"/>
      <c r="R29" s="23" t="str">
        <f>IF(VLOOKUP(US!$J51,D_SMG,3,FALSE)=0,"",", "&amp;VLOOKUP(US!$J51,D_SMG,4,FALSE))</f>
        <v/>
      </c>
      <c r="S29" s="23">
        <f>VLOOKUP(US!$J51,D_SMG,3,FALSE)</f>
        <v>0</v>
      </c>
      <c r="T29" s="23" t="str">
        <f>IF(VLOOKUP(US!$J52,D_ATG,3,FALSE)=0,"",", "&amp;VLOOKUP(US!$J52,D_ATG,4,FALSE))</f>
        <v/>
      </c>
      <c r="U29" s="23"/>
      <c r="V29" s="23" t="e">
        <f>M29&amp;N29&amp;P29&amp;R29&amp;T29&amp;U29</f>
        <v>#N/A</v>
      </c>
      <c r="W29" s="23" t="e">
        <f>VLOOKUP(LEFT(US!$I$53,1)&amp;"."&amp;US!$J$53,D_Transport,4, FALSE)</f>
        <v>#N/A</v>
      </c>
      <c r="X29" s="23" t="e">
        <f>VLOOKUP(LEFT(US!$I$53,1)&amp;"."&amp;US!$J$53,D_Transport,5, FALSE)</f>
        <v>#N/A</v>
      </c>
      <c r="Y29" s="23" t="str">
        <f>IF(ISNA(W29),"",CHAR(10)&amp;" + "&amp;W29&amp;" ("&amp;X29&amp;")")</f>
        <v/>
      </c>
    </row>
    <row r="30" spans="1:25" ht="48" customHeight="1" x14ac:dyDescent="0.25">
      <c r="A30" s="110" t="str">
        <f>IF(ISNA(INDEX($E$23:$Y$29,MATCH(3,$E$23:$E$29,0),4)),"","armed with: "&amp;INDEX($E$23:$Y$29,MATCH(3,$E$23:$E$29,0),18)&amp;" "&amp;INDEX($E$23:$Y$29,MATCH(3,$E$23:$E$29,0),21))</f>
        <v/>
      </c>
      <c r="B30" s="111"/>
      <c r="C30" s="109"/>
    </row>
    <row r="31" spans="1:25" x14ac:dyDescent="0.25">
      <c r="A31" s="106" t="s">
        <v>132</v>
      </c>
      <c r="B31" s="107"/>
      <c r="C31" s="42"/>
    </row>
    <row r="32" spans="1:25" ht="32.1" customHeight="1" x14ac:dyDescent="0.25">
      <c r="A32" s="77" t="str">
        <f>IF(ISNA(INDEX($E$32:$J$58,MATCH(1,$E$32:$E$58,0),4)),"",INDEX($E$32:$J$58,MATCH(1,$E$32:$E$58,0),4))</f>
        <v/>
      </c>
      <c r="B32" s="63" t="str">
        <f>IF(ISNA(INDEX($E$32:$J$58,MATCH(1,$E$32:$E$58,0),6)),"",INDEX($E$32:$J$58,MATCH(1,$E$32:$E$58,0),6))</f>
        <v/>
      </c>
      <c r="C32" s="62" t="str">
        <f>IF(ISNA(INDEX($E$32:$J$58,MATCH(1,$E$32:$E$58,0),3)),"",INDEX($E$32:$J$58,MATCH(1,$E$32:$E$58,0),3))</f>
        <v/>
      </c>
      <c r="E32" s="22">
        <f>SUM(F32)</f>
        <v>0</v>
      </c>
      <c r="F32" s="22">
        <f>IF(ISNA(I32),0,1)</f>
        <v>0</v>
      </c>
      <c r="G32" s="23">
        <f>US!K59</f>
        <v>0</v>
      </c>
      <c r="H32" s="22" t="e">
        <f>I32&amp;K32&amp;P32</f>
        <v>#N/A</v>
      </c>
      <c r="I32" s="23" t="e">
        <f>VLOOKUP(LEFT(US!$I$56,1)&amp;"."&amp;US!$J$56,D_Officers1,4, FALSE)</f>
        <v>#N/A</v>
      </c>
      <c r="J32" s="23" t="e">
        <f>VLOOKUP(LEFT(US!$I$56,1)&amp;"."&amp;US!$J$56,D_Officers1,5, FALSE)</f>
        <v>#N/A</v>
      </c>
      <c r="K32" s="23" t="str">
        <f>IF(ISNA(M32),""," "&amp;M32)</f>
        <v/>
      </c>
      <c r="L32" s="23" t="e">
        <f>VLOOKUP(LEFT(US!$I$57,1)&amp;"."&amp;US!$J$57,D_AddMen,5, FALSE)</f>
        <v>#N/A</v>
      </c>
      <c r="M32" s="23" t="e">
        <f>VLOOKUP(LEFT(US!$I$57,1)&amp;"."&amp;US!$J$57,D_AddMen,4, FALSE)</f>
        <v>#N/A</v>
      </c>
      <c r="N32" s="23" t="e">
        <f>VLOOKUP(LEFT(US!$I$58,1)&amp;"."&amp;US!$J$58,D_Transport,4, FALSE)</f>
        <v>#N/A</v>
      </c>
      <c r="O32" s="23" t="e">
        <f>VLOOKUP(LEFT(US!$I$58,1)&amp;"."&amp;US!$J$58,D_Transport,5, FALSE)</f>
        <v>#N/A</v>
      </c>
      <c r="P32" s="23" t="str">
        <f>IF(ISNA(N32),"",CHAR(10)&amp;" + "&amp;N32&amp;" ("&amp;O32&amp;")")</f>
        <v/>
      </c>
      <c r="R32" s="23" t="e">
        <f>VLOOKUP(LEFT(US!$I$56,1)&amp;"."&amp;US!$J$56,D_Officers1,4, FALSE)</f>
        <v>#N/A</v>
      </c>
    </row>
    <row r="33" spans="1:18" ht="5.0999999999999996" customHeight="1" x14ac:dyDescent="0.25">
      <c r="A33" s="44"/>
      <c r="B33" s="41"/>
      <c r="C33" s="41"/>
    </row>
    <row r="34" spans="1:18" ht="32.1" customHeight="1" x14ac:dyDescent="0.25">
      <c r="A34" s="77" t="str">
        <f>IF(ISNA(INDEX($E$32:$J$58,MATCH(2,$E$32:$E$58,0),4)),"",INDEX($E$32:$J$58,MATCH(2,$E$32:$E$58,0),4))</f>
        <v/>
      </c>
      <c r="B34" s="63" t="str">
        <f>IF(ISNA(INDEX($E$32:$J$58,MATCH(2,$E$32:$E$58,0),6)),"",INDEX($E$32:$J$58,MATCH(2,$E$32:$E$58,0),6))</f>
        <v/>
      </c>
      <c r="C34" s="62" t="str">
        <f>IF(ISNA(INDEX($E$32:$J$58,MATCH(2,$E$32:$E$58,0),3)),"",INDEX($E$32:$J$58,MATCH(2,$E$32:$E$58,0),3))</f>
        <v/>
      </c>
      <c r="E34" s="22">
        <f>SUM(F32:F34)</f>
        <v>0</v>
      </c>
      <c r="F34" s="22">
        <f>IF(ISNA(I34),0,1)</f>
        <v>0</v>
      </c>
      <c r="G34" s="23">
        <f>US!K64</f>
        <v>0</v>
      </c>
      <c r="H34" s="22" t="e">
        <f>I34&amp;K34&amp;P34</f>
        <v>#N/A</v>
      </c>
      <c r="I34" s="23" t="e">
        <f>VLOOKUP(LEFT(US!$I$61,1)&amp;"."&amp;US!$J$61,D_Medic,4, FALSE)</f>
        <v>#N/A</v>
      </c>
      <c r="J34" s="23" t="e">
        <f>VLOOKUP(LEFT(US!$I$61,1)&amp;"."&amp;US!$J$61,D_Medic,5, FALSE)</f>
        <v>#N/A</v>
      </c>
      <c r="K34" s="23" t="str">
        <f>IF(ISNA(M34),""," "&amp;M34)</f>
        <v/>
      </c>
      <c r="L34" s="23" t="e">
        <f>VLOOKUP(LEFT(US!$I$62,1)&amp;"."&amp;US!$J$62,D_MedicMen,5, FALSE)</f>
        <v>#N/A</v>
      </c>
      <c r="M34" s="23" t="e">
        <f>VLOOKUP(LEFT(US!$I$62,1)&amp;"."&amp;US!$J$62,D_MedicMen,4, FALSE)</f>
        <v>#N/A</v>
      </c>
      <c r="N34" s="23" t="e">
        <f>VLOOKUP(LEFT(US!$I$63,1)&amp;"."&amp;US!$J$63,D_Transport,4, FALSE)</f>
        <v>#N/A</v>
      </c>
      <c r="O34" s="23" t="e">
        <f>VLOOKUP(LEFT(US!$I$63,1)&amp;"."&amp;US!$J$63,D_Transport,5, FALSE)</f>
        <v>#N/A</v>
      </c>
      <c r="P34" s="23" t="str">
        <f>IF(ISNA(N34),"",CHAR(10)&amp;" + "&amp;N34&amp;" ("&amp;O34&amp;")")</f>
        <v/>
      </c>
      <c r="R34" s="23" t="e">
        <f>VLOOKUP(LEFT(US!$I$61,1)&amp;"."&amp;US!$J$61,D_Medic,4, FALSE)</f>
        <v>#N/A</v>
      </c>
    </row>
    <row r="35" spans="1:18" ht="5.0999999999999996" customHeight="1" x14ac:dyDescent="0.25">
      <c r="A35" s="77"/>
      <c r="B35" s="63"/>
      <c r="C35" s="62"/>
    </row>
    <row r="36" spans="1:18" ht="32.1" customHeight="1" x14ac:dyDescent="0.25">
      <c r="A36" s="77" t="str">
        <f>IF(ISNA(INDEX($E$32:$J$58,MATCH(3,$E$32:$E$58,0),4)),"",INDEX($E$32:$J$58,MATCH(3,$E$32:$E$58,0),4))</f>
        <v/>
      </c>
      <c r="B36" s="63" t="str">
        <f>IF(ISNA(INDEX($E$32:$J$58,MATCH(3,$E$32:$E$58,0),6)),"",INDEX($E$32:$J$58,MATCH(3,$E$32:$E$58,0),6))</f>
        <v/>
      </c>
      <c r="C36" s="62" t="str">
        <f>IF(ISNA(INDEX($E$32:$J$58,MATCH(3,$E$32:$E$58,0),3)),"",INDEX($E$32:$J$58,MATCH(3,$E$32:$E$58,0),3))</f>
        <v/>
      </c>
      <c r="E36" s="22">
        <f>SUM(F32:F36)</f>
        <v>0</v>
      </c>
      <c r="F36" s="22">
        <f>IF(ISNA(I36),0,1)</f>
        <v>0</v>
      </c>
      <c r="G36" s="23">
        <f>US!K69</f>
        <v>0</v>
      </c>
      <c r="H36" s="22" t="e">
        <f>I36&amp;K36&amp;P36</f>
        <v>#N/A</v>
      </c>
      <c r="I36" s="23" t="e">
        <f>VLOOKUP(LEFT(US!$I$66,1)&amp;"."&amp;US!$J$66,D_Observers,4, FALSE)</f>
        <v>#N/A</v>
      </c>
      <c r="J36" s="23" t="e">
        <f>VLOOKUP(LEFT(US!$I$66,1)&amp;"."&amp;US!$J$66,D_Observers,5, FALSE)</f>
        <v>#N/A</v>
      </c>
      <c r="K36" s="23" t="str">
        <f>IF(ISNA(M36),""," "&amp;M36)</f>
        <v/>
      </c>
      <c r="L36" s="23" t="e">
        <f>VLOOKUP(LEFT(US!$I$67,1)&amp;"."&amp;US!$J$67,D_AddMen,5, FALSE)</f>
        <v>#N/A</v>
      </c>
      <c r="M36" s="23" t="e">
        <f>VLOOKUP(LEFT(US!$I$67,1)&amp;"."&amp;US!$J$67,D_AddMen,4, FALSE)</f>
        <v>#N/A</v>
      </c>
      <c r="N36" s="23" t="e">
        <f>VLOOKUP(LEFT(US!$I$68,1)&amp;"."&amp;US!$J$68,D_Transport,4, FALSE)</f>
        <v>#N/A</v>
      </c>
      <c r="O36" s="23" t="e">
        <f>VLOOKUP(LEFT(US!$I$68,1)&amp;"."&amp;US!$J$68,D_Transport,5, FALSE)</f>
        <v>#N/A</v>
      </c>
      <c r="P36" s="23" t="str">
        <f>IF(ISNA(N36),"",CHAR(10)&amp;" + "&amp;N36&amp;" ("&amp;O36&amp;")")</f>
        <v/>
      </c>
    </row>
    <row r="37" spans="1:18" ht="5.0999999999999996" customHeight="1" x14ac:dyDescent="0.25">
      <c r="A37" s="77"/>
      <c r="B37" s="63"/>
      <c r="C37" s="62"/>
    </row>
    <row r="38" spans="1:18" ht="32.1" customHeight="1" x14ac:dyDescent="0.25">
      <c r="A38" s="77" t="str">
        <f>IF(ISNA(INDEX($E$32:$J$58,MATCH(4,$E$32:$E$58,0),4)),"",INDEX($E$32:$J$58,MATCH(4,$E$32:$E$58,0),4))</f>
        <v/>
      </c>
      <c r="B38" s="63" t="str">
        <f>IF(ISNA(INDEX($E$32:$J$58,MATCH(4,$E$32:$E$58,0),6)),"",INDEX($E$32:$J$58,MATCH(4,$E$32:$E$58,0),6))</f>
        <v/>
      </c>
      <c r="C38" s="62" t="str">
        <f>IF(ISNA(INDEX($E$32:$J$58,MATCH(4,$E$32:$E$58,0),3)),"",INDEX($E$32:$J$58,MATCH(4,$E$32:$E$58,0),3))</f>
        <v/>
      </c>
      <c r="E38" s="22">
        <f>SUM(F32:F38)</f>
        <v>0</v>
      </c>
      <c r="F38" s="22">
        <f>IF(ISNA(I38),0,1)</f>
        <v>0</v>
      </c>
      <c r="G38" s="23">
        <f>US!K73</f>
        <v>0</v>
      </c>
      <c r="H38" s="22" t="e">
        <f>I38&amp;K38&amp;P38</f>
        <v>#N/A</v>
      </c>
      <c r="I38" s="23" t="e">
        <f>VLOOKUP(LEFT(US!$I$71,1)&amp;"."&amp;US!$J$71,D_MG,4, FALSE)</f>
        <v>#N/A</v>
      </c>
      <c r="J38" s="23" t="e">
        <f>VLOOKUP(LEFT(US!$I$71,1)&amp;"."&amp;US!$J$71,D_MG,5, FALSE)</f>
        <v>#N/A</v>
      </c>
      <c r="K38" s="23"/>
      <c r="N38" s="23" t="e">
        <f>VLOOKUP(LEFT(US!$I$72,1)&amp;"."&amp;US!$J$72,D_Transport,4, FALSE)</f>
        <v>#N/A</v>
      </c>
      <c r="O38" s="23" t="e">
        <f>VLOOKUP(LEFT(US!$I$72,1)&amp;"."&amp;US!$J$72,D_Transport,5, FALSE)</f>
        <v>#N/A</v>
      </c>
      <c r="P38" s="23" t="str">
        <f>IF(ISNA(N38),"",CHAR(10)&amp;" + "&amp;N38&amp;" ("&amp;O38&amp;")")</f>
        <v/>
      </c>
    </row>
    <row r="39" spans="1:18" ht="5.0999999999999996" customHeight="1" x14ac:dyDescent="0.25">
      <c r="A39" s="77"/>
      <c r="B39" s="63"/>
      <c r="C39" s="62"/>
    </row>
    <row r="40" spans="1:18" ht="32.1" customHeight="1" x14ac:dyDescent="0.25">
      <c r="A40" s="77" t="str">
        <f>IF(ISNA(INDEX($E$32:$J$58,MATCH(5,$E$32:$E$58,0),4)),"",INDEX($E$32:$J$58,MATCH(5,$E$32:$E$58,0),4))</f>
        <v/>
      </c>
      <c r="B40" s="63" t="str">
        <f>IF(ISNA(INDEX($E$32:$J$58,MATCH(5,$E$32:$E$58,0),6)),"",INDEX($E$32:$J$58,MATCH(5,$E$32:$E$58,0),6))</f>
        <v/>
      </c>
      <c r="C40" s="62" t="str">
        <f>IF(ISNA(INDEX($E$32:$J$58,MATCH(5,$E$32:$E$58,0),3)),"",INDEX($E$32:$J$58,MATCH(5,$E$32:$E$58,0),3))</f>
        <v/>
      </c>
      <c r="E40" s="22">
        <f>SUM(F32:F40)</f>
        <v>0</v>
      </c>
      <c r="F40" s="22">
        <f>IF(ISNA(I40),0,1)</f>
        <v>0</v>
      </c>
      <c r="G40" s="23">
        <f>US!K77</f>
        <v>0</v>
      </c>
      <c r="H40" s="22" t="e">
        <f>I40&amp;K40&amp;P40</f>
        <v>#N/A</v>
      </c>
      <c r="I40" s="23" t="e">
        <f>VLOOKUP(LEFT(US!$I$75,1)&amp;"."&amp;US!$J$75,D_MG,4, FALSE)</f>
        <v>#N/A</v>
      </c>
      <c r="J40" s="23" t="e">
        <f>VLOOKUP(LEFT(US!$I$75,1)&amp;"."&amp;US!$J$75,D_MG,5, FALSE)</f>
        <v>#N/A</v>
      </c>
      <c r="K40" s="23"/>
      <c r="N40" s="23" t="e">
        <f>VLOOKUP(LEFT(US!$I$76,1)&amp;"."&amp;US!$J$76,D_Transport,4, FALSE)</f>
        <v>#N/A</v>
      </c>
      <c r="O40" s="23" t="e">
        <f>VLOOKUP(LEFT(US!$I$76,1)&amp;"."&amp;US!$J$76,D_Transport,5, FALSE)</f>
        <v>#N/A</v>
      </c>
      <c r="P40" s="23" t="str">
        <f>IF(ISNA(N40),"",CHAR(10)&amp;" + "&amp;N40&amp;" ("&amp;O40&amp;")")</f>
        <v/>
      </c>
    </row>
    <row r="41" spans="1:18" ht="5.0999999999999996" customHeight="1" x14ac:dyDescent="0.25">
      <c r="A41" s="77"/>
      <c r="B41" s="63"/>
      <c r="C41" s="62"/>
    </row>
    <row r="42" spans="1:18" ht="32.1" customHeight="1" x14ac:dyDescent="0.25">
      <c r="A42" s="77" t="str">
        <f>IF(ISNA(INDEX($E$32:$J$58,MATCH(6,$E$32:$E$58,0),4)),"",INDEX($E$32:$J$58,MATCH(6,$E$32:$E$58,0),4))</f>
        <v/>
      </c>
      <c r="B42" s="63" t="str">
        <f>IF(ISNA(INDEX($E$32:$J$58,MATCH(6,$E$32:$E$58,0),6)),"",INDEX($E$32:$J$58,MATCH(6,$E$32:$E$58,0),6))</f>
        <v/>
      </c>
      <c r="C42" s="62" t="str">
        <f>IF(ISNA(INDEX($E$32:$J$58,MATCH(6,$E$32:$E$58,0),3)),"",INDEX($E$32:$J$58,MATCH(6,$E$32:$E$58,0),3))</f>
        <v/>
      </c>
      <c r="E42" s="22">
        <f>SUM(F32:F42)</f>
        <v>0</v>
      </c>
      <c r="F42" s="22">
        <f>IF(ISNA(I42),0,1)</f>
        <v>0</v>
      </c>
      <c r="G42" s="23">
        <f>US!K81</f>
        <v>0</v>
      </c>
      <c r="H42" s="22" t="e">
        <f>I42&amp;K42&amp;P42</f>
        <v>#N/A</v>
      </c>
      <c r="I42" s="23" t="e">
        <f>VLOOKUP(LEFT(US!$I$79,1)&amp;"."&amp;US!$J$79,D_MG,4, FALSE)</f>
        <v>#N/A</v>
      </c>
      <c r="J42" s="23" t="e">
        <f>VLOOKUP(LEFT(US!$I$79,1)&amp;"."&amp;US!$J$79,D_MG,5, FALSE)</f>
        <v>#N/A</v>
      </c>
      <c r="K42" s="23"/>
      <c r="N42" s="23" t="e">
        <f>VLOOKUP(LEFT(US!$I$80,1)&amp;"."&amp;US!$J$80,D_Transport,4, FALSE)</f>
        <v>#N/A</v>
      </c>
      <c r="O42" s="23" t="e">
        <f>VLOOKUP(LEFT(US!$I$80,1)&amp;"."&amp;US!$J$80,D_Transport,5, FALSE)</f>
        <v>#N/A</v>
      </c>
      <c r="P42" s="23" t="str">
        <f>IF(ISNA(N42),"",CHAR(10)&amp;" + "&amp;N42&amp;" ("&amp;O42&amp;")")</f>
        <v/>
      </c>
    </row>
    <row r="43" spans="1:18" ht="5.0999999999999996" customHeight="1" x14ac:dyDescent="0.25">
      <c r="A43" s="77"/>
      <c r="B43" s="63"/>
      <c r="C43" s="62"/>
    </row>
    <row r="44" spans="1:18" ht="32.1" customHeight="1" x14ac:dyDescent="0.25">
      <c r="A44" s="77" t="str">
        <f>IF(ISNA(INDEX($E$32:$J$58,MATCH(7,$E$32:$E$58,0),4)),"",INDEX($E$32:$J$58,MATCH(7,$E$32:$E$58,0),4))</f>
        <v/>
      </c>
      <c r="B44" s="63" t="str">
        <f>IF(ISNA(INDEX($E$32:$J$58,MATCH(7,$E$32:$E$58,0),6)),"",INDEX($E$32:$J$58,MATCH(7,$E$32:$E$58,0),6))</f>
        <v/>
      </c>
      <c r="C44" s="62" t="str">
        <f>IF(ISNA(INDEX($E$32:$J$58,MATCH(7,$E$32:$E$58,0),3)),"",INDEX($E$32:$J$58,MATCH(7,$E$32:$E$58,0),3))</f>
        <v/>
      </c>
      <c r="E44" s="22">
        <f>SUM(F32:F44)</f>
        <v>0</v>
      </c>
      <c r="F44" s="22">
        <f>IF(ISNA(I44),0,1)</f>
        <v>0</v>
      </c>
      <c r="G44" s="23">
        <f>US!K85</f>
        <v>0</v>
      </c>
      <c r="H44" s="22" t="e">
        <f>I44&amp;K44&amp;P44</f>
        <v>#N/A</v>
      </c>
      <c r="I44" s="23" t="e">
        <f>VLOOKUP(LEFT(US!$I$83,1)&amp;"."&amp;US!$J$83,D_HMG,4, FALSE)</f>
        <v>#N/A</v>
      </c>
      <c r="J44" s="23" t="e">
        <f>VLOOKUP(LEFT(US!$I$83,1)&amp;"."&amp;US!$J$83,D_HMG,5, FALSE)</f>
        <v>#N/A</v>
      </c>
      <c r="K44" s="23"/>
      <c r="N44" s="23" t="e">
        <f>VLOOKUP(LEFT(US!$I$84,1)&amp;"."&amp;US!$J$84,D_Transport,4, FALSE)</f>
        <v>#N/A</v>
      </c>
      <c r="O44" s="23" t="e">
        <f>VLOOKUP(LEFT(US!$I$84,1)&amp;"."&amp;US!$J$84,D_Transport,5, FALSE)</f>
        <v>#N/A</v>
      </c>
      <c r="P44" s="23" t="str">
        <f>IF(ISNA(N44),"",CHAR(10)&amp;" + "&amp;N44&amp;" ("&amp;O44&amp;")")</f>
        <v/>
      </c>
    </row>
    <row r="45" spans="1:18" ht="5.0999999999999996" customHeight="1" x14ac:dyDescent="0.25">
      <c r="A45" s="77"/>
      <c r="B45" s="63"/>
      <c r="C45" s="62"/>
    </row>
    <row r="46" spans="1:18" ht="32.1" customHeight="1" x14ac:dyDescent="0.25">
      <c r="A46" s="77" t="str">
        <f>IF(ISNA(INDEX($E$32:$J$58,MATCH(8,$E$32:$E$58,0),4)),"",INDEX($E$32:$J$58,MATCH(8,$E$32:$E$58,0),4))</f>
        <v/>
      </c>
      <c r="B46" s="63" t="str">
        <f>IF(ISNA(INDEX($E$32:$J$58,MATCH(8,$E$32:$E$58,0),6)),"",INDEX($E$32:$J$58,MATCH(8,$E$32:$E$58,0),6))</f>
        <v/>
      </c>
      <c r="C46" s="62" t="str">
        <f>IF(ISNA(INDEX($E$32:$J$58,MATCH(8,$E$32:$E$58,0),3)),"",INDEX($E$32:$J$58,MATCH(8,$E$32:$E$58,0),3))</f>
        <v/>
      </c>
      <c r="E46" s="22">
        <f>SUM(F32:F46)</f>
        <v>0</v>
      </c>
      <c r="F46" s="22">
        <f>IF(ISNA(I46),0,1)</f>
        <v>0</v>
      </c>
      <c r="G46" s="82">
        <f>US!K90</f>
        <v>0</v>
      </c>
      <c r="H46" s="22" t="e">
        <f>I46&amp;K46&amp;P46</f>
        <v>#N/A</v>
      </c>
      <c r="I46" s="23" t="e">
        <f>VLOOKUP(LEFT(US!$I$87,1)&amp;"."&amp;US!$J$87,D_Mortar,4, FALSE)</f>
        <v>#N/A</v>
      </c>
      <c r="J46" s="23" t="e">
        <f>VLOOKUP(LEFT(US!$I$87,1)&amp;"."&amp;US!$J$87,D_Mortar,5, FALSE)</f>
        <v>#N/A</v>
      </c>
      <c r="K46" s="23" t="str">
        <f>IF(ISNA(M46),"",IF(M46&gt;0," (including 1 "&amp;M46&amp;")",""))</f>
        <v/>
      </c>
      <c r="L46" s="23"/>
      <c r="M46" s="23">
        <f>VLOOKUP(US!$J$88,D_Spotter,4, FALSE)</f>
        <v>0</v>
      </c>
      <c r="N46" s="23" t="e">
        <f>VLOOKUP(LEFT(US!$I$89,1)&amp;"."&amp;US!$J$89,D_Transport,4, FALSE)</f>
        <v>#N/A</v>
      </c>
      <c r="O46" s="23" t="e">
        <f>VLOOKUP(LEFT(US!$I$89,1)&amp;"."&amp;US!$J$89,D_Transport,5, FALSE)</f>
        <v>#N/A</v>
      </c>
      <c r="P46" s="23" t="str">
        <f>IF(ISNA(N46),"",CHAR(10)&amp;" + "&amp;N46&amp;" ("&amp;O46&amp;")")</f>
        <v/>
      </c>
    </row>
    <row r="47" spans="1:18" ht="5.0999999999999996" customHeight="1" x14ac:dyDescent="0.25">
      <c r="A47" s="77"/>
      <c r="B47" s="63"/>
      <c r="C47" s="62"/>
    </row>
    <row r="48" spans="1:18" ht="32.1" customHeight="1" x14ac:dyDescent="0.25">
      <c r="A48" s="77" t="str">
        <f>IF(ISNA(INDEX($E$32:$J$58,MATCH(9,$E$32:$E$58,0),4)),"",INDEX($E$32:$J$58,MATCH(9,$E$32:$E$58,0),4))</f>
        <v/>
      </c>
      <c r="B48" s="63" t="str">
        <f>IF(ISNA(INDEX($E$32:$J$58,MATCH(9,$E$32:$E$58,0),6)),"",INDEX($E$32:$J$58,MATCH(9,$E$32:$E$58,0),6))</f>
        <v/>
      </c>
      <c r="C48" s="62" t="str">
        <f>IF(ISNA(INDEX($E$32:$J$58,MATCH(9,$E$32:$E$58,0),3)),"",INDEX($E$32:$J$58,MATCH(9,$E$32:$E$58,0),3))</f>
        <v/>
      </c>
      <c r="E48" s="22">
        <f>SUM(F32:F48)</f>
        <v>0</v>
      </c>
      <c r="F48" s="22">
        <f>IF(ISNA(I48),0,1)</f>
        <v>0</v>
      </c>
      <c r="G48" s="23">
        <f>US!K94</f>
        <v>0</v>
      </c>
      <c r="H48" s="22" t="e">
        <f>I48&amp;K48&amp;P48</f>
        <v>#N/A</v>
      </c>
      <c r="I48" s="23" t="e">
        <f>VLOOKUP(LEFT(US!$I$92,1)&amp;"."&amp;US!$J$92,D_Sniper,4, FALSE)</f>
        <v>#N/A</v>
      </c>
      <c r="J48" s="23" t="e">
        <f>VLOOKUP(LEFT(US!$I$92,1)&amp;"."&amp;US!$J$92,D_Sniper,5, FALSE)</f>
        <v>#N/A</v>
      </c>
      <c r="K48" s="23"/>
      <c r="N48" s="23" t="e">
        <f>VLOOKUP(LEFT(US!$I$93,1)&amp;"."&amp;US!$J$93,D_Transport,4, FALSE)</f>
        <v>#N/A</v>
      </c>
      <c r="O48" s="23" t="e">
        <f>VLOOKUP(LEFT(US!$I$93,1)&amp;"."&amp;US!$J$93,D_Transport,5, FALSE)</f>
        <v>#N/A</v>
      </c>
      <c r="P48" s="23" t="str">
        <f>IF(ISNA(N48),"",CHAR(10)&amp;" + "&amp;N48&amp;" ("&amp;O48&amp;")")</f>
        <v/>
      </c>
    </row>
    <row r="49" spans="1:16" ht="5.0999999999999996" customHeight="1" x14ac:dyDescent="0.25">
      <c r="A49" s="77"/>
      <c r="B49" s="63"/>
      <c r="C49" s="62"/>
    </row>
    <row r="50" spans="1:16" x14ac:dyDescent="0.25">
      <c r="A50" s="77" t="str">
        <f>IF(ISNA(INDEX($E$32:$J$58,MATCH(10,$E$32:$E$58,0),4)),"",INDEX($E$32:$J$58,MATCH(10,$E$32:$E$58,0),4))</f>
        <v/>
      </c>
      <c r="B50" s="63" t="str">
        <f>IF(ISNA(INDEX($E$32:$J$58,MATCH(10,$E$32:$E$58,0),6)),"",INDEX($E$32:$J$58,MATCH(10,$E$32:$E$58,0),6))</f>
        <v/>
      </c>
      <c r="C50" s="62" t="str">
        <f>IF(ISNA(INDEX($E$32:$J$58,MATCH(10,$E$32:$E$58,0),3)),"",INDEX($E$32:$J$58,MATCH(10,$E$32:$E$58,0),3))</f>
        <v/>
      </c>
      <c r="E50" s="22">
        <f>SUM(F32:F50)</f>
        <v>0</v>
      </c>
      <c r="F50" s="22">
        <f>IF(ISNA(I50),0,1)</f>
        <v>0</v>
      </c>
      <c r="G50" s="23">
        <f>US!K98</f>
        <v>0</v>
      </c>
      <c r="H50" s="22" t="e">
        <f>I50&amp;K50&amp;P50</f>
        <v>#N/A</v>
      </c>
      <c r="I50" s="23" t="e">
        <f>VLOOKUP(LEFT(US!$I$96,1)&amp;"."&amp;US!$J$96,D_Flamethrower,4, FALSE)</f>
        <v>#N/A</v>
      </c>
      <c r="J50" s="23" t="e">
        <f>VLOOKUP(LEFT(US!$I$96,1)&amp;"."&amp;US!$J$96,D_Flamethrower,5, FALSE)</f>
        <v>#N/A</v>
      </c>
      <c r="K50" s="23"/>
      <c r="N50" s="23" t="e">
        <f>VLOOKUP(LEFT(US!$I$97,1)&amp;"."&amp;US!$J$97,D_Transport,4, FALSE)</f>
        <v>#N/A</v>
      </c>
      <c r="O50" s="23" t="e">
        <f>VLOOKUP(LEFT(US!$I$97,1)&amp;"."&amp;US!$J$97,D_Transport,5, FALSE)</f>
        <v>#N/A</v>
      </c>
      <c r="P50" s="23" t="str">
        <f>IF(ISNA(N50),"",CHAR(10)&amp;" + "&amp;N50&amp;" ("&amp;O50&amp;")")</f>
        <v/>
      </c>
    </row>
    <row r="51" spans="1:16" ht="5.0999999999999996" customHeight="1" x14ac:dyDescent="0.25">
      <c r="A51" s="77"/>
      <c r="B51" s="63"/>
      <c r="C51" s="62"/>
    </row>
    <row r="52" spans="1:16" x14ac:dyDescent="0.25">
      <c r="A52" s="77" t="str">
        <f>IF(ISNA(INDEX($E$32:$J$58,MATCH(11,$E$32:$E$58,0),4)),"",INDEX($E$32:$J$58,MATCH(11,$E$32:$E$58,0),4))</f>
        <v/>
      </c>
      <c r="B52" s="63" t="str">
        <f>IF(ISNA(INDEX($E$32:$J$58,MATCH(11,$E$32:$E$58,0),6)),"",INDEX($E$32:$J$58,MATCH(11,$E$32:$E$58,0),6))</f>
        <v/>
      </c>
      <c r="C52" s="62" t="str">
        <f>IF(ISNA(INDEX($E$32:$J$58,MATCH(11,$E$32:$E$58,0),3)),"",INDEX($E$32:$J$58,MATCH(11,$E$32:$E$58,0),3))</f>
        <v/>
      </c>
      <c r="E52" s="22">
        <f>SUM(F32:F52)</f>
        <v>0</v>
      </c>
      <c r="F52" s="22">
        <f>IF(ISNA(I52),0,1)</f>
        <v>0</v>
      </c>
      <c r="G52" s="23">
        <f>US!K102</f>
        <v>0</v>
      </c>
      <c r="H52" s="22" t="e">
        <f>I52&amp;K52&amp;P52</f>
        <v>#N/A</v>
      </c>
      <c r="I52" s="23" t="e">
        <f>VLOOKUP(LEFT(US!$I$100,1)&amp;"."&amp;US!$J$100,D_AntiTank,4, FALSE)</f>
        <v>#N/A</v>
      </c>
      <c r="J52" s="23" t="e">
        <f>VLOOKUP(LEFT(US!$I$100,1)&amp;"."&amp;US!$J$100,D_AntiTank,5, FALSE)</f>
        <v>#N/A</v>
      </c>
      <c r="K52" s="23"/>
      <c r="N52" s="23" t="e">
        <f>VLOOKUP(LEFT(US!$I$101,1)&amp;"."&amp;US!$J$101,D_Transport,4, FALSE)</f>
        <v>#N/A</v>
      </c>
      <c r="O52" s="23" t="e">
        <f>VLOOKUP(LEFT(US!$I$101,1)&amp;"."&amp;US!$J$101,D_Transport,5, FALSE)</f>
        <v>#N/A</v>
      </c>
      <c r="P52" s="23" t="str">
        <f>IF(ISNA(N52),"",CHAR(10)&amp;" + "&amp;N52&amp;" ("&amp;O52&amp;")")</f>
        <v/>
      </c>
    </row>
    <row r="53" spans="1:16" ht="5.0999999999999996" customHeight="1" x14ac:dyDescent="0.25">
      <c r="A53" s="83"/>
      <c r="B53" s="84"/>
      <c r="C53" s="85"/>
    </row>
    <row r="54" spans="1:16" x14ac:dyDescent="0.25">
      <c r="A54" s="77" t="str">
        <f>IF(ISNA(INDEX($E$32:$J$58,MATCH(12,$E$32:$E$58,0),4)),"",INDEX($E$32:$J$58,MATCH(12,$E$32:$E$58,0),4))</f>
        <v/>
      </c>
      <c r="B54" s="63" t="str">
        <f>IF(ISNA(INDEX($E$32:$J$58,MATCH(12,$E$32:$E$58,0),6)),"",INDEX($E$32:$J$58,MATCH(12,$E$32:$E$58,0),6))</f>
        <v/>
      </c>
      <c r="C54" s="62" t="str">
        <f>IF(ISNA(INDEX($E$32:$J$58,MATCH(12,$E$32:$E$58,0),3)),"",INDEX($E$32:$J$58,MATCH(12,$E$32:$E$58,0),3))</f>
        <v/>
      </c>
      <c r="E54" s="22">
        <f>SUM(F32:F54)</f>
        <v>0</v>
      </c>
      <c r="F54" s="22">
        <f>IF(ISNA(I54),0,1)</f>
        <v>0</v>
      </c>
      <c r="G54" s="23">
        <f>US!K107</f>
        <v>0</v>
      </c>
      <c r="H54" s="22" t="e">
        <f>I54&amp;K54&amp;P54</f>
        <v>#N/A</v>
      </c>
      <c r="I54" s="23" t="e">
        <f>VLOOKUP(LEFT(US!$I$104,1)&amp;"."&amp;US!$J$104,D_BigGun,4, FALSE)</f>
        <v>#N/A</v>
      </c>
      <c r="J54" s="23" t="e">
        <f>VLOOKUP(LEFT(US!$I$104,1)&amp;"."&amp;US!$J$104,D_BigGun,5, FALSE)</f>
        <v>#N/A</v>
      </c>
      <c r="K54" s="23" t="str">
        <f>IF(ISNA(M54),"",IF(M54&gt;0," (including 1 "&amp;M54&amp;")",""))</f>
        <v/>
      </c>
      <c r="M54" s="23">
        <f>VLOOKUP(US!$J$105,D_Spotter,4, FALSE)</f>
        <v>0</v>
      </c>
      <c r="N54" s="23" t="e">
        <f>VLOOKUP(LEFT(US!$I$106,1)&amp;"."&amp;US!$J$106,D_Transport,4, FALSE)</f>
        <v>#N/A</v>
      </c>
      <c r="O54" s="23" t="e">
        <f>VLOOKUP(LEFT(US!$I$106,1)&amp;"."&amp;US!$J$106,D_Transport,5, FALSE)</f>
        <v>#N/A</v>
      </c>
      <c r="P54" s="23" t="str">
        <f>IF(ISNA(N54),"",CHAR(10)&amp;" + "&amp;N54&amp;" ("&amp;O54&amp;")")</f>
        <v/>
      </c>
    </row>
    <row r="55" spans="1:16" ht="5.0999999999999996" customHeight="1" x14ac:dyDescent="0.25">
      <c r="A55" s="83"/>
      <c r="B55" s="84"/>
      <c r="C55" s="85"/>
    </row>
    <row r="56" spans="1:16" x14ac:dyDescent="0.25">
      <c r="A56" s="77" t="str">
        <f>IF(ISNA(INDEX($E$32:$J$58,MATCH(13,$E$32:$E$58,0),4)),"",INDEX($E$32:$J$58,MATCH(13,$E$32:$E$58,0),4))</f>
        <v/>
      </c>
      <c r="B56" s="63" t="str">
        <f>IF(ISNA(INDEX($E$32:$J$58,MATCH(13,$E$32:$E$58,0),6)),"",INDEX($E$32:$J$58,MATCH(13,$E$32:$E$58,0),6))</f>
        <v/>
      </c>
      <c r="C56" s="62" t="str">
        <f>IF(ISNA(INDEX($E$32:$J$58,MATCH(13,$E$32:$E$58,0),3)),"",INDEX($E$32:$J$58,MATCH(13,$E$32:$E$58,0),3))</f>
        <v/>
      </c>
      <c r="E56" s="22">
        <f>SUM(F32:F56)</f>
        <v>0</v>
      </c>
      <c r="F56" s="22">
        <f>IF(ISNA(I56),0,1)</f>
        <v>0</v>
      </c>
      <c r="G56" s="23">
        <f>US!K109</f>
        <v>0</v>
      </c>
      <c r="H56" s="22" t="e">
        <f>I56&amp;K56&amp;P56</f>
        <v>#N/A</v>
      </c>
      <c r="I56" s="23" t="e">
        <f>VLOOKUP(LEFT(US!$I$109,1)&amp;"."&amp;US!$J$109,D_ACar,4, FALSE)</f>
        <v>#N/A</v>
      </c>
      <c r="J56" s="23" t="e">
        <f>VLOOKUP(LEFT(US!$I$109,1)&amp;"."&amp;US!$J$109,D_ACar,5, FALSE)</f>
        <v>#N/A</v>
      </c>
      <c r="K56" s="23"/>
    </row>
    <row r="57" spans="1:16" ht="5.0999999999999996" customHeight="1" x14ac:dyDescent="0.25">
      <c r="A57" s="83"/>
      <c r="B57" s="84"/>
      <c r="C57" s="85"/>
    </row>
    <row r="58" spans="1:16" x14ac:dyDescent="0.25">
      <c r="A58" s="77" t="str">
        <f>IF(ISNA(INDEX($E$32:$J$58,MATCH(14,$E$32:$E$58,0),4)),"",INDEX($E$32:$J$58,MATCH(14,$E$32:$E$58,0),4))</f>
        <v/>
      </c>
      <c r="B58" s="63" t="str">
        <f>IF(ISNA(INDEX($E$32:$J$58,MATCH(14,$E$32:$E$58,0),6)),"",INDEX($E$32:$J$58,MATCH(14,$E$32:$E$58,0),6))</f>
        <v/>
      </c>
      <c r="C58" s="62" t="str">
        <f>IF(ISNA(INDEX($E$32:$J$58,MATCH(14,$E$32:$E$58,0),3)),"",INDEX($E$32:$J$58,MATCH(14,$E$32:$E$58,0),3))</f>
        <v/>
      </c>
      <c r="E58" s="22">
        <f>SUM(F32:F58)</f>
        <v>0</v>
      </c>
      <c r="F58" s="22">
        <f>IF(ISNA(I58),0,1)</f>
        <v>0</v>
      </c>
      <c r="G58" s="23">
        <f>US!K114</f>
        <v>0</v>
      </c>
      <c r="H58" s="22" t="e">
        <f>I58&amp;K58&amp;P58</f>
        <v>#N/A</v>
      </c>
      <c r="I58" s="23" t="e">
        <f>VLOOKUP(LEFT(US!$I$111,1)&amp;"."&amp;US!$J$111,D_Tank,4, FALSE)</f>
        <v>#N/A</v>
      </c>
      <c r="J58" s="23" t="e">
        <f>VLOOKUP(LEFT(US!$I$111,1)&amp;"."&amp;US!$J$111,D_Tank,5, FALSE)</f>
        <v>#N/A</v>
      </c>
      <c r="K58" s="23" t="str">
        <f>IF(ISNA(M58),"",IF(M58&gt;0," ("&amp;M58&amp;")",""))</f>
        <v/>
      </c>
      <c r="M58" s="23">
        <f>VLOOKUP(US!$J$112,D_TankOptions,4, FALSE)</f>
        <v>0</v>
      </c>
      <c r="N58" s="23">
        <f>VLOOKUP(US!$J$113,D_TankOptions1,4, FALSE)</f>
        <v>0</v>
      </c>
      <c r="P58" s="23" t="str">
        <f>IF(ISNA(N58),"",IF(N58&gt;0," + ("&amp;N58&amp;")",""))</f>
        <v/>
      </c>
    </row>
    <row r="59" spans="1:16" x14ac:dyDescent="0.25">
      <c r="A59" s="49"/>
      <c r="B59" s="50"/>
      <c r="C59" s="51"/>
    </row>
    <row r="60" spans="1:16" x14ac:dyDescent="0.25">
      <c r="A60" s="104" t="s">
        <v>133</v>
      </c>
      <c r="B60" s="105"/>
      <c r="C60" s="43">
        <f>SUM(C11:C58)</f>
        <v>0</v>
      </c>
    </row>
    <row r="61" spans="1:16" x14ac:dyDescent="0.25">
      <c r="A61" s="104" t="s">
        <v>137</v>
      </c>
      <c r="B61" s="105"/>
      <c r="C61" s="43">
        <f>C60+'1st Platoon OOB'!C60</f>
        <v>0</v>
      </c>
    </row>
    <row r="62" spans="1:16" x14ac:dyDescent="0.25">
      <c r="A62" s="66" t="s">
        <v>138</v>
      </c>
    </row>
  </sheetData>
  <sheetProtection password="D83F" sheet="1" objects="1" scenarios="1" selectLockedCells="1" selectUnlockedCells="1"/>
  <mergeCells count="20">
    <mergeCell ref="A60:B60"/>
    <mergeCell ref="A61:B61"/>
    <mergeCell ref="C29:C30"/>
    <mergeCell ref="A30:B30"/>
    <mergeCell ref="A31:B31"/>
    <mergeCell ref="A28:B28"/>
    <mergeCell ref="C26:C27"/>
    <mergeCell ref="A27:B27"/>
    <mergeCell ref="A8:C8"/>
    <mergeCell ref="A9:C9"/>
    <mergeCell ref="C14:C15"/>
    <mergeCell ref="A15:B15"/>
    <mergeCell ref="A17:B17"/>
    <mergeCell ref="C18:C19"/>
    <mergeCell ref="A19:B19"/>
    <mergeCell ref="A21:C21"/>
    <mergeCell ref="A22:B22"/>
    <mergeCell ref="C23:C24"/>
    <mergeCell ref="A24:B24"/>
    <mergeCell ref="A25:B25"/>
  </mergeCells>
  <pageMargins left="0.7" right="0.7" top="0.75" bottom="0.75" header="0.3" footer="0.3"/>
  <pageSetup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29"/>
  <sheetViews>
    <sheetView workbookViewId="0"/>
  </sheetViews>
  <sheetFormatPr defaultColWidth="8.85546875" defaultRowHeight="15" x14ac:dyDescent="0.25"/>
  <cols>
    <col min="1" max="1" width="22.42578125" bestFit="1" customWidth="1"/>
    <col min="2" max="2" width="26.42578125" customWidth="1"/>
    <col min="5" max="5" width="17.85546875" customWidth="1"/>
    <col min="9" max="9" width="13.28515625" customWidth="1"/>
    <col min="10" max="10" width="10.7109375" bestFit="1" customWidth="1"/>
    <col min="11" max="11" width="8.85546875" customWidth="1"/>
    <col min="14" max="14" width="12.85546875" customWidth="1"/>
  </cols>
  <sheetData>
    <row r="1" spans="1:13" x14ac:dyDescent="0.25">
      <c r="A1" t="s">
        <v>131</v>
      </c>
      <c r="B1" t="s">
        <v>30</v>
      </c>
      <c r="C1" s="1">
        <v>0</v>
      </c>
    </row>
    <row r="2" spans="1:13" x14ac:dyDescent="0.25">
      <c r="B2" s="1" t="s">
        <v>63</v>
      </c>
      <c r="C2" s="1">
        <v>1</v>
      </c>
      <c r="I2" t="s">
        <v>90</v>
      </c>
      <c r="J2" s="1">
        <v>1</v>
      </c>
    </row>
    <row r="3" spans="1:13" x14ac:dyDescent="0.25">
      <c r="B3" s="1" t="s">
        <v>224</v>
      </c>
      <c r="C3" s="1">
        <v>2</v>
      </c>
      <c r="J3" s="1">
        <v>2</v>
      </c>
    </row>
    <row r="4" spans="1:13" x14ac:dyDescent="0.25">
      <c r="B4" s="1" t="s">
        <v>171</v>
      </c>
      <c r="C4" s="1">
        <v>2</v>
      </c>
      <c r="J4" s="1"/>
    </row>
    <row r="5" spans="1:13" x14ac:dyDescent="0.25">
      <c r="B5" s="1" t="s">
        <v>64</v>
      </c>
      <c r="C5" s="1">
        <v>2</v>
      </c>
      <c r="I5" t="s">
        <v>105</v>
      </c>
      <c r="J5" t="s">
        <v>30</v>
      </c>
      <c r="K5" t="s">
        <v>30</v>
      </c>
      <c r="L5" t="s">
        <v>30</v>
      </c>
    </row>
    <row r="6" spans="1:13" x14ac:dyDescent="0.25">
      <c r="B6" s="1" t="s">
        <v>62</v>
      </c>
      <c r="C6" s="1">
        <v>3</v>
      </c>
      <c r="J6" s="1" t="s">
        <v>62</v>
      </c>
      <c r="K6" s="1" t="s">
        <v>64</v>
      </c>
      <c r="L6" s="1" t="s">
        <v>63</v>
      </c>
    </row>
    <row r="7" spans="1:13" x14ac:dyDescent="0.25">
      <c r="B7" s="1"/>
      <c r="C7" s="1"/>
      <c r="J7" s="1" t="s">
        <v>63</v>
      </c>
      <c r="L7" s="1" t="s">
        <v>64</v>
      </c>
    </row>
    <row r="8" spans="1:13" x14ac:dyDescent="0.25">
      <c r="B8" s="1"/>
      <c r="C8" s="1"/>
      <c r="J8" s="1" t="s">
        <v>64</v>
      </c>
    </row>
    <row r="9" spans="1:13" x14ac:dyDescent="0.25">
      <c r="B9" s="1"/>
      <c r="C9" s="1"/>
      <c r="J9" s="1"/>
    </row>
    <row r="10" spans="1:13" x14ac:dyDescent="0.25">
      <c r="A10" t="s">
        <v>34</v>
      </c>
      <c r="B10" s="1" t="s">
        <v>30</v>
      </c>
      <c r="C10" s="1">
        <v>0</v>
      </c>
      <c r="D10" s="1">
        <v>0</v>
      </c>
      <c r="E10" s="1"/>
      <c r="F10" s="1"/>
      <c r="G10" s="1"/>
      <c r="I10" t="s">
        <v>30</v>
      </c>
      <c r="J10" t="s">
        <v>30</v>
      </c>
    </row>
    <row r="11" spans="1:13" x14ac:dyDescent="0.25">
      <c r="B11" s="1" t="s">
        <v>153</v>
      </c>
      <c r="C11" s="1">
        <v>35</v>
      </c>
      <c r="D11" s="1">
        <v>1</v>
      </c>
      <c r="E11" s="1" t="s">
        <v>67</v>
      </c>
      <c r="F11" s="1" t="s">
        <v>62</v>
      </c>
      <c r="G11" s="1"/>
      <c r="H11" s="1"/>
      <c r="I11" s="1" t="s">
        <v>67</v>
      </c>
      <c r="J11" s="1" t="s">
        <v>106</v>
      </c>
      <c r="K11" s="1"/>
      <c r="L11" s="1"/>
      <c r="M11" s="1"/>
    </row>
    <row r="12" spans="1:13" x14ac:dyDescent="0.25">
      <c r="B12" s="1" t="s">
        <v>158</v>
      </c>
      <c r="C12" s="1">
        <v>50</v>
      </c>
      <c r="D12" s="1">
        <v>1</v>
      </c>
      <c r="E12" s="1" t="s">
        <v>67</v>
      </c>
      <c r="F12" s="1" t="s">
        <v>63</v>
      </c>
      <c r="G12" s="1"/>
      <c r="H12" s="1"/>
      <c r="I12" s="1" t="s">
        <v>68</v>
      </c>
      <c r="J12" s="1" t="s">
        <v>107</v>
      </c>
      <c r="K12" s="1"/>
      <c r="L12" s="1"/>
      <c r="M12" s="1"/>
    </row>
    <row r="13" spans="1:13" x14ac:dyDescent="0.25">
      <c r="B13" s="1" t="s">
        <v>154</v>
      </c>
      <c r="C13" s="1">
        <v>65</v>
      </c>
      <c r="D13" s="1">
        <v>1</v>
      </c>
      <c r="E13" s="1" t="s">
        <v>67</v>
      </c>
      <c r="F13" s="1" t="s">
        <v>64</v>
      </c>
      <c r="G13" s="1"/>
      <c r="H13" s="1"/>
      <c r="I13" s="1" t="s">
        <v>106</v>
      </c>
      <c r="K13" s="1"/>
      <c r="L13" s="1"/>
      <c r="M13" s="1"/>
    </row>
    <row r="14" spans="1:13" x14ac:dyDescent="0.25">
      <c r="B14" s="1" t="s">
        <v>155</v>
      </c>
      <c r="C14" s="1">
        <v>60</v>
      </c>
      <c r="D14" s="1">
        <v>1</v>
      </c>
      <c r="E14" s="1" t="s">
        <v>68</v>
      </c>
      <c r="F14" s="1" t="s">
        <v>62</v>
      </c>
      <c r="G14" s="1"/>
      <c r="H14" s="1"/>
      <c r="I14" s="1" t="s">
        <v>107</v>
      </c>
      <c r="K14" s="1"/>
      <c r="L14" s="1"/>
      <c r="M14" s="1"/>
    </row>
    <row r="15" spans="1:13" x14ac:dyDescent="0.25">
      <c r="B15" s="1" t="s">
        <v>156</v>
      </c>
      <c r="C15" s="1">
        <v>75</v>
      </c>
      <c r="D15" s="1">
        <v>1</v>
      </c>
      <c r="E15" s="1" t="s">
        <v>68</v>
      </c>
      <c r="F15" s="1" t="s">
        <v>63</v>
      </c>
      <c r="G15" s="1"/>
      <c r="H15" s="1"/>
      <c r="I15" s="1"/>
      <c r="K15" s="1"/>
      <c r="L15" s="1"/>
      <c r="M15" s="1"/>
    </row>
    <row r="16" spans="1:13" x14ac:dyDescent="0.25">
      <c r="B16" s="1" t="s">
        <v>157</v>
      </c>
      <c r="C16" s="1">
        <v>90</v>
      </c>
      <c r="D16" s="1">
        <v>1</v>
      </c>
      <c r="E16" s="1" t="s">
        <v>68</v>
      </c>
      <c r="F16" s="1" t="s">
        <v>64</v>
      </c>
      <c r="G16" s="1"/>
      <c r="H16" s="1"/>
      <c r="I16" s="1"/>
      <c r="K16" s="1"/>
      <c r="L16" s="1"/>
      <c r="M16" s="1"/>
    </row>
    <row r="17" spans="1:13" x14ac:dyDescent="0.25">
      <c r="B17" s="1" t="s">
        <v>30</v>
      </c>
      <c r="C17" s="1">
        <v>0</v>
      </c>
      <c r="D17" s="1">
        <v>0</v>
      </c>
      <c r="G17" s="1"/>
      <c r="H17" s="1"/>
      <c r="I17" s="1"/>
      <c r="J17" s="1"/>
      <c r="K17" s="1"/>
      <c r="L17" s="1"/>
      <c r="M17" s="1"/>
    </row>
    <row r="18" spans="1:13" x14ac:dyDescent="0.25">
      <c r="B18" s="1" t="s">
        <v>204</v>
      </c>
      <c r="C18" s="1">
        <v>95</v>
      </c>
      <c r="D18" s="1">
        <v>1</v>
      </c>
      <c r="E18" s="1" t="s">
        <v>106</v>
      </c>
      <c r="F18" s="1" t="s">
        <v>62</v>
      </c>
      <c r="G18" s="1"/>
      <c r="H18" s="1"/>
      <c r="I18" s="1"/>
      <c r="K18" s="1"/>
      <c r="L18" s="1"/>
      <c r="M18" s="1"/>
    </row>
    <row r="19" spans="1:13" x14ac:dyDescent="0.25">
      <c r="B19" s="1" t="s">
        <v>123</v>
      </c>
      <c r="C19" s="1">
        <v>110</v>
      </c>
      <c r="D19" s="1">
        <v>1</v>
      </c>
      <c r="E19" s="1" t="s">
        <v>106</v>
      </c>
      <c r="F19" s="1" t="s">
        <v>63</v>
      </c>
      <c r="G19" s="1"/>
      <c r="H19" s="1"/>
      <c r="I19" s="1"/>
      <c r="J19" s="1"/>
      <c r="K19" s="1"/>
      <c r="L19" s="1"/>
      <c r="M19" s="1"/>
    </row>
    <row r="20" spans="1:13" x14ac:dyDescent="0.25">
      <c r="B20" s="1" t="s">
        <v>124</v>
      </c>
      <c r="C20" s="1">
        <v>125</v>
      </c>
      <c r="D20" s="1">
        <v>1</v>
      </c>
      <c r="E20" s="1" t="s">
        <v>106</v>
      </c>
      <c r="F20" s="1" t="s">
        <v>64</v>
      </c>
      <c r="G20" s="1"/>
      <c r="H20" s="1"/>
      <c r="I20" s="1"/>
      <c r="J20" s="1"/>
      <c r="K20" s="1"/>
      <c r="L20" s="1"/>
      <c r="M20" s="1"/>
    </row>
    <row r="21" spans="1:13" x14ac:dyDescent="0.25">
      <c r="B21" s="1" t="s">
        <v>148</v>
      </c>
      <c r="C21" s="1">
        <v>135</v>
      </c>
      <c r="D21" s="1">
        <v>1</v>
      </c>
      <c r="E21" s="1" t="s">
        <v>107</v>
      </c>
      <c r="F21" s="1" t="s">
        <v>62</v>
      </c>
      <c r="G21" s="1"/>
      <c r="H21" s="1"/>
      <c r="I21" s="1"/>
      <c r="J21" s="1"/>
      <c r="K21" s="1"/>
      <c r="L21" s="1"/>
      <c r="M21" s="1"/>
    </row>
    <row r="22" spans="1:13" x14ac:dyDescent="0.25">
      <c r="B22" s="1" t="s">
        <v>125</v>
      </c>
      <c r="C22" s="1">
        <v>150</v>
      </c>
      <c r="D22" s="1">
        <v>1</v>
      </c>
      <c r="E22" s="1" t="s">
        <v>107</v>
      </c>
      <c r="F22" s="1" t="s">
        <v>63</v>
      </c>
      <c r="G22" s="1"/>
      <c r="H22" s="1"/>
      <c r="I22" s="1"/>
      <c r="J22" s="1"/>
      <c r="K22" s="1"/>
      <c r="L22" s="1"/>
      <c r="M22" s="1"/>
    </row>
    <row r="23" spans="1:13" x14ac:dyDescent="0.25">
      <c r="B23" s="1" t="s">
        <v>126</v>
      </c>
      <c r="C23" s="1">
        <v>165</v>
      </c>
      <c r="D23" s="1">
        <v>1</v>
      </c>
      <c r="E23" s="1" t="s">
        <v>107</v>
      </c>
      <c r="F23" s="1" t="s">
        <v>64</v>
      </c>
      <c r="G23" s="1"/>
      <c r="H23" s="1"/>
      <c r="I23" s="1"/>
      <c r="J23" s="1"/>
      <c r="K23" s="1"/>
      <c r="L23" s="1"/>
      <c r="M23" s="1"/>
    </row>
    <row r="24" spans="1:13" x14ac:dyDescent="0.25">
      <c r="A24" t="s">
        <v>50</v>
      </c>
      <c r="B24" s="3" t="s">
        <v>30</v>
      </c>
      <c r="C24" s="1">
        <v>0</v>
      </c>
      <c r="D24" s="1">
        <v>0</v>
      </c>
      <c r="E24" s="1"/>
      <c r="F24" s="1"/>
      <c r="G24" s="1"/>
      <c r="H24" s="1"/>
      <c r="I24" s="3" t="s">
        <v>30</v>
      </c>
      <c r="M24" s="1"/>
    </row>
    <row r="25" spans="1:13" x14ac:dyDescent="0.25">
      <c r="B25" s="3" t="s">
        <v>280</v>
      </c>
      <c r="C25" s="1">
        <v>7</v>
      </c>
      <c r="D25" s="1">
        <v>1</v>
      </c>
      <c r="E25" s="1" t="s">
        <v>65</v>
      </c>
      <c r="F25" s="1" t="s">
        <v>62</v>
      </c>
      <c r="G25" s="1"/>
      <c r="H25" s="1"/>
      <c r="I25" s="3" t="s">
        <v>108</v>
      </c>
      <c r="M25" s="1"/>
    </row>
    <row r="26" spans="1:13" x14ac:dyDescent="0.25">
      <c r="B26" s="3" t="s">
        <v>279</v>
      </c>
      <c r="C26" s="1">
        <v>14</v>
      </c>
      <c r="D26" s="1">
        <v>2</v>
      </c>
      <c r="E26" s="1" t="s">
        <v>66</v>
      </c>
      <c r="F26" s="1" t="s">
        <v>62</v>
      </c>
      <c r="G26" s="1"/>
      <c r="H26" s="1"/>
      <c r="I26" s="3" t="s">
        <v>109</v>
      </c>
    </row>
    <row r="27" spans="1:13" x14ac:dyDescent="0.25">
      <c r="B27" s="1" t="s">
        <v>281</v>
      </c>
      <c r="C27" s="1">
        <v>10</v>
      </c>
      <c r="D27" s="1">
        <v>1</v>
      </c>
      <c r="E27" s="1" t="s">
        <v>65</v>
      </c>
      <c r="F27" s="1" t="s">
        <v>63</v>
      </c>
      <c r="G27" s="1"/>
      <c r="H27" s="1"/>
    </row>
    <row r="28" spans="1:13" x14ac:dyDescent="0.25">
      <c r="B28" s="1" t="s">
        <v>282</v>
      </c>
      <c r="C28" s="1">
        <v>20</v>
      </c>
      <c r="D28" s="1">
        <v>2</v>
      </c>
      <c r="E28" s="1" t="s">
        <v>66</v>
      </c>
      <c r="F28" s="1" t="s">
        <v>63</v>
      </c>
      <c r="G28" s="1"/>
      <c r="H28" s="1"/>
    </row>
    <row r="29" spans="1:13" x14ac:dyDescent="0.25">
      <c r="B29" s="1" t="s">
        <v>121</v>
      </c>
      <c r="C29" s="1">
        <v>13</v>
      </c>
      <c r="D29" s="1">
        <v>1</v>
      </c>
      <c r="E29" s="1" t="s">
        <v>65</v>
      </c>
      <c r="F29" s="1" t="s">
        <v>64</v>
      </c>
      <c r="G29" s="1"/>
      <c r="H29" s="1"/>
    </row>
    <row r="30" spans="1:13" x14ac:dyDescent="0.25">
      <c r="B30" s="1" t="s">
        <v>122</v>
      </c>
      <c r="C30" s="1">
        <v>26</v>
      </c>
      <c r="D30" s="1">
        <v>2</v>
      </c>
      <c r="E30" s="1" t="s">
        <v>66</v>
      </c>
      <c r="F30" s="1" t="s">
        <v>64</v>
      </c>
      <c r="G30" s="1"/>
      <c r="H30" s="1"/>
    </row>
    <row r="31" spans="1:13" x14ac:dyDescent="0.25">
      <c r="A31" t="s">
        <v>41</v>
      </c>
      <c r="B31" s="3" t="s">
        <v>30</v>
      </c>
      <c r="C31" s="1">
        <v>0</v>
      </c>
      <c r="D31" s="1">
        <v>0</v>
      </c>
      <c r="E31" s="1"/>
      <c r="F31" s="1"/>
      <c r="G31" s="1"/>
      <c r="H31" s="1"/>
      <c r="I31" s="3" t="s">
        <v>30</v>
      </c>
      <c r="J31" s="3"/>
      <c r="K31" s="1"/>
      <c r="L31" s="1"/>
    </row>
    <row r="32" spans="1:13" x14ac:dyDescent="0.25">
      <c r="B32" s="1" t="s">
        <v>10</v>
      </c>
      <c r="C32" s="1">
        <v>35</v>
      </c>
      <c r="D32" s="1">
        <v>5</v>
      </c>
      <c r="E32" s="1" t="s">
        <v>71</v>
      </c>
      <c r="F32" s="1" t="s">
        <v>62</v>
      </c>
      <c r="G32" s="1"/>
      <c r="H32" s="1"/>
      <c r="I32" s="1" t="s">
        <v>99</v>
      </c>
      <c r="J32" s="1"/>
      <c r="K32" s="1"/>
      <c r="L32" s="1"/>
      <c r="M32" s="2"/>
    </row>
    <row r="33" spans="2:13" x14ac:dyDescent="0.25">
      <c r="B33" s="1" t="s">
        <v>11</v>
      </c>
      <c r="C33" s="1">
        <v>42</v>
      </c>
      <c r="D33" s="1">
        <v>6</v>
      </c>
      <c r="E33" s="1" t="s">
        <v>72</v>
      </c>
      <c r="F33" s="1" t="s">
        <v>62</v>
      </c>
      <c r="G33" s="1"/>
      <c r="H33" s="1"/>
      <c r="I33" s="1" t="s">
        <v>100</v>
      </c>
      <c r="J33" s="1"/>
      <c r="K33" s="1"/>
      <c r="L33" s="1"/>
      <c r="M33" s="1"/>
    </row>
    <row r="34" spans="2:13" x14ac:dyDescent="0.25">
      <c r="B34" s="1" t="s">
        <v>194</v>
      </c>
      <c r="C34" s="1">
        <v>49</v>
      </c>
      <c r="D34" s="1">
        <v>7</v>
      </c>
      <c r="E34" s="1" t="s">
        <v>73</v>
      </c>
      <c r="F34" s="1" t="s">
        <v>62</v>
      </c>
      <c r="G34" s="1"/>
      <c r="H34" s="1"/>
      <c r="I34" s="1" t="s">
        <v>104</v>
      </c>
      <c r="J34" s="1"/>
      <c r="K34" s="1"/>
      <c r="L34" s="1"/>
      <c r="M34" s="1"/>
    </row>
    <row r="35" spans="2:13" x14ac:dyDescent="0.25">
      <c r="B35" s="1" t="s">
        <v>12</v>
      </c>
      <c r="C35" s="1">
        <v>56</v>
      </c>
      <c r="D35" s="1">
        <v>8</v>
      </c>
      <c r="E35" s="1" t="s">
        <v>74</v>
      </c>
      <c r="F35" s="1" t="s">
        <v>62</v>
      </c>
      <c r="G35" s="1"/>
      <c r="H35" s="1"/>
      <c r="I35" s="1" t="s">
        <v>101</v>
      </c>
      <c r="J35" s="1"/>
      <c r="K35" s="1"/>
      <c r="L35" s="1"/>
      <c r="M35" s="1"/>
    </row>
    <row r="36" spans="2:13" x14ac:dyDescent="0.25">
      <c r="B36" s="1" t="s">
        <v>13</v>
      </c>
      <c r="C36" s="1">
        <v>63</v>
      </c>
      <c r="D36" s="1">
        <v>9</v>
      </c>
      <c r="E36" s="1" t="s">
        <v>75</v>
      </c>
      <c r="F36" s="1" t="s">
        <v>62</v>
      </c>
      <c r="G36" s="1"/>
      <c r="H36" s="1"/>
      <c r="I36" s="1" t="s">
        <v>102</v>
      </c>
      <c r="J36" s="1"/>
      <c r="K36" s="1"/>
      <c r="L36" s="1"/>
      <c r="M36" s="1"/>
    </row>
    <row r="37" spans="2:13" x14ac:dyDescent="0.25">
      <c r="B37" s="1" t="s">
        <v>26</v>
      </c>
      <c r="C37" s="1">
        <v>70</v>
      </c>
      <c r="D37" s="1">
        <v>10</v>
      </c>
      <c r="E37" s="1" t="s">
        <v>76</v>
      </c>
      <c r="F37" s="1" t="s">
        <v>62</v>
      </c>
      <c r="G37" s="1"/>
      <c r="H37" s="1"/>
      <c r="I37" s="1" t="s">
        <v>103</v>
      </c>
      <c r="J37" s="1"/>
      <c r="K37" s="1"/>
      <c r="L37" s="1"/>
      <c r="M37" s="1"/>
    </row>
    <row r="38" spans="2:13" x14ac:dyDescent="0.25">
      <c r="B38" s="1" t="s">
        <v>195</v>
      </c>
      <c r="C38" s="1">
        <v>77</v>
      </c>
      <c r="D38" s="1">
        <v>11</v>
      </c>
      <c r="E38" s="1" t="s">
        <v>201</v>
      </c>
      <c r="F38" s="1" t="s">
        <v>62</v>
      </c>
      <c r="G38" s="1"/>
      <c r="H38" s="1"/>
      <c r="I38" s="1" t="s">
        <v>203</v>
      </c>
      <c r="J38" s="1"/>
      <c r="K38" s="1"/>
      <c r="L38" s="1"/>
      <c r="M38" s="1"/>
    </row>
    <row r="39" spans="2:13" x14ac:dyDescent="0.25">
      <c r="B39" s="1" t="s">
        <v>196</v>
      </c>
      <c r="C39" s="1">
        <v>84</v>
      </c>
      <c r="D39" s="1">
        <v>12</v>
      </c>
      <c r="E39" s="1" t="s">
        <v>202</v>
      </c>
      <c r="F39" s="1" t="s">
        <v>62</v>
      </c>
      <c r="G39" s="1"/>
      <c r="H39" s="1"/>
      <c r="I39" s="1" t="s">
        <v>283</v>
      </c>
      <c r="J39" s="1"/>
      <c r="K39" s="1"/>
      <c r="L39" s="1"/>
      <c r="M39" s="1"/>
    </row>
    <row r="40" spans="2:13" x14ac:dyDescent="0.25">
      <c r="B40" s="1" t="s">
        <v>14</v>
      </c>
      <c r="C40" s="1">
        <v>50</v>
      </c>
      <c r="D40" s="1">
        <v>5</v>
      </c>
      <c r="E40" s="1" t="s">
        <v>71</v>
      </c>
      <c r="F40" s="1" t="s">
        <v>63</v>
      </c>
      <c r="G40" s="1"/>
      <c r="H40" s="1"/>
      <c r="I40" s="1"/>
      <c r="J40" s="1"/>
      <c r="K40" s="1"/>
      <c r="L40" s="1"/>
      <c r="M40" s="1"/>
    </row>
    <row r="41" spans="2:13" x14ac:dyDescent="0.25">
      <c r="B41" s="1" t="s">
        <v>15</v>
      </c>
      <c r="C41" s="1">
        <v>60</v>
      </c>
      <c r="D41" s="1">
        <v>6</v>
      </c>
      <c r="E41" s="1" t="s">
        <v>72</v>
      </c>
      <c r="F41" s="1" t="s">
        <v>63</v>
      </c>
      <c r="G41" s="1"/>
      <c r="H41" s="1"/>
      <c r="I41" s="1"/>
      <c r="J41" s="1"/>
      <c r="K41" s="1"/>
      <c r="L41" s="1"/>
      <c r="M41" s="1"/>
    </row>
    <row r="42" spans="2:13" x14ac:dyDescent="0.25">
      <c r="B42" s="1" t="s">
        <v>16</v>
      </c>
      <c r="C42" s="1">
        <v>70</v>
      </c>
      <c r="D42" s="1">
        <v>7</v>
      </c>
      <c r="E42" s="1" t="s">
        <v>73</v>
      </c>
      <c r="F42" s="1" t="s">
        <v>63</v>
      </c>
      <c r="G42" s="1"/>
      <c r="H42" s="1"/>
      <c r="I42" s="1"/>
      <c r="J42" s="1"/>
      <c r="K42" s="1"/>
      <c r="L42" s="1"/>
      <c r="M42" s="1"/>
    </row>
    <row r="43" spans="2:13" x14ac:dyDescent="0.25">
      <c r="B43" s="1" t="s">
        <v>17</v>
      </c>
      <c r="C43" s="1">
        <v>80</v>
      </c>
      <c r="D43" s="1">
        <v>8</v>
      </c>
      <c r="E43" s="1" t="s">
        <v>74</v>
      </c>
      <c r="F43" s="1" t="s">
        <v>63</v>
      </c>
      <c r="G43" s="1"/>
      <c r="H43" s="1"/>
      <c r="I43" s="1"/>
      <c r="J43" s="1"/>
      <c r="K43" s="1"/>
      <c r="L43" s="1"/>
    </row>
    <row r="44" spans="2:13" x14ac:dyDescent="0.25">
      <c r="B44" s="1" t="s">
        <v>18</v>
      </c>
      <c r="C44" s="1">
        <v>90</v>
      </c>
      <c r="D44" s="1">
        <v>9</v>
      </c>
      <c r="E44" s="1" t="s">
        <v>75</v>
      </c>
      <c r="F44" s="1" t="s">
        <v>63</v>
      </c>
      <c r="G44" s="1"/>
      <c r="H44" s="1"/>
      <c r="I44" s="1"/>
      <c r="J44" s="1"/>
      <c r="K44" s="1"/>
      <c r="L44" s="1"/>
    </row>
    <row r="45" spans="2:13" x14ac:dyDescent="0.25">
      <c r="B45" s="1" t="s">
        <v>19</v>
      </c>
      <c r="C45" s="1">
        <v>100</v>
      </c>
      <c r="D45" s="1">
        <v>10</v>
      </c>
      <c r="E45" s="1" t="s">
        <v>76</v>
      </c>
      <c r="F45" s="1" t="s">
        <v>63</v>
      </c>
      <c r="G45" s="1"/>
      <c r="H45" s="1"/>
      <c r="I45" s="1"/>
      <c r="J45" s="1"/>
      <c r="K45" s="1"/>
      <c r="L45" s="1"/>
    </row>
    <row r="46" spans="2:13" x14ac:dyDescent="0.25">
      <c r="B46" s="1" t="s">
        <v>197</v>
      </c>
      <c r="C46" s="1">
        <v>110</v>
      </c>
      <c r="D46" s="1">
        <v>11</v>
      </c>
      <c r="E46" s="1" t="s">
        <v>201</v>
      </c>
      <c r="F46" s="1" t="s">
        <v>63</v>
      </c>
      <c r="G46" s="1"/>
      <c r="H46" s="1"/>
      <c r="I46" s="1"/>
      <c r="J46" s="1"/>
      <c r="K46" s="1"/>
      <c r="L46" s="1"/>
    </row>
    <row r="47" spans="2:13" x14ac:dyDescent="0.25">
      <c r="B47" s="1" t="s">
        <v>198</v>
      </c>
      <c r="C47" s="1">
        <v>120</v>
      </c>
      <c r="D47" s="1">
        <v>12</v>
      </c>
      <c r="E47" s="1" t="s">
        <v>202</v>
      </c>
      <c r="F47" s="1" t="s">
        <v>63</v>
      </c>
      <c r="G47" s="1"/>
      <c r="H47" s="1"/>
      <c r="I47" s="1"/>
      <c r="J47" s="1"/>
      <c r="K47" s="1"/>
      <c r="L47" s="1"/>
      <c r="M47" s="1"/>
    </row>
    <row r="48" spans="2:13" x14ac:dyDescent="0.25">
      <c r="B48" s="1" t="s">
        <v>20</v>
      </c>
      <c r="C48" s="1">
        <v>65</v>
      </c>
      <c r="D48" s="1">
        <v>5</v>
      </c>
      <c r="E48" s="1" t="s">
        <v>71</v>
      </c>
      <c r="F48" s="1" t="s">
        <v>64</v>
      </c>
      <c r="G48" s="1"/>
      <c r="H48" s="1"/>
      <c r="I48" s="1"/>
      <c r="J48" s="1"/>
      <c r="K48" s="1"/>
      <c r="L48" s="1"/>
      <c r="M48" s="1"/>
    </row>
    <row r="49" spans="1:13" x14ac:dyDescent="0.25">
      <c r="B49" s="1" t="s">
        <v>21</v>
      </c>
      <c r="C49" s="1">
        <v>78</v>
      </c>
      <c r="D49" s="1">
        <v>6</v>
      </c>
      <c r="E49" s="1" t="s">
        <v>72</v>
      </c>
      <c r="F49" s="1" t="s">
        <v>64</v>
      </c>
      <c r="G49" s="1"/>
      <c r="H49" s="1"/>
      <c r="I49" s="1"/>
      <c r="J49" s="1"/>
      <c r="K49" s="1"/>
      <c r="L49" s="1"/>
      <c r="M49" s="1"/>
    </row>
    <row r="50" spans="1:13" x14ac:dyDescent="0.25">
      <c r="B50" s="1" t="s">
        <v>22</v>
      </c>
      <c r="C50" s="1">
        <v>91</v>
      </c>
      <c r="D50" s="1">
        <v>7</v>
      </c>
      <c r="E50" s="1" t="s">
        <v>73</v>
      </c>
      <c r="F50" s="1" t="s">
        <v>64</v>
      </c>
      <c r="G50" s="1"/>
      <c r="H50" s="1"/>
      <c r="I50" s="1"/>
      <c r="J50" s="1"/>
      <c r="K50" s="1"/>
      <c r="L50" s="1"/>
      <c r="M50" s="1"/>
    </row>
    <row r="51" spans="1:13" x14ac:dyDescent="0.25">
      <c r="B51" s="1" t="s">
        <v>23</v>
      </c>
      <c r="C51" s="1">
        <v>104</v>
      </c>
      <c r="D51" s="1">
        <v>8</v>
      </c>
      <c r="E51" s="1" t="s">
        <v>74</v>
      </c>
      <c r="F51" s="1" t="s">
        <v>64</v>
      </c>
      <c r="G51" s="1"/>
      <c r="H51" s="1"/>
      <c r="I51" s="1"/>
      <c r="J51" s="1"/>
      <c r="K51" s="1"/>
      <c r="L51" s="1"/>
      <c r="M51" s="1"/>
    </row>
    <row r="52" spans="1:13" x14ac:dyDescent="0.25">
      <c r="B52" s="1" t="s">
        <v>24</v>
      </c>
      <c r="C52" s="1">
        <v>117</v>
      </c>
      <c r="D52" s="1">
        <v>9</v>
      </c>
      <c r="E52" s="1" t="s">
        <v>75</v>
      </c>
      <c r="F52" s="1" t="s">
        <v>64</v>
      </c>
      <c r="G52" s="1"/>
      <c r="H52" s="1"/>
      <c r="I52" s="1"/>
      <c r="J52" s="1"/>
      <c r="K52" s="1"/>
      <c r="L52" s="1"/>
      <c r="M52" s="1"/>
    </row>
    <row r="53" spans="1:13" x14ac:dyDescent="0.25">
      <c r="B53" s="1" t="s">
        <v>25</v>
      </c>
      <c r="C53" s="1">
        <v>130</v>
      </c>
      <c r="D53" s="1">
        <v>10</v>
      </c>
      <c r="E53" s="1" t="s">
        <v>76</v>
      </c>
      <c r="F53" s="1" t="s">
        <v>63</v>
      </c>
      <c r="G53" s="1"/>
      <c r="H53" s="1"/>
      <c r="I53" s="1"/>
      <c r="J53" s="1"/>
      <c r="K53" s="1"/>
      <c r="L53" s="1"/>
      <c r="M53" s="1"/>
    </row>
    <row r="54" spans="1:13" x14ac:dyDescent="0.25">
      <c r="B54" s="1" t="s">
        <v>199</v>
      </c>
      <c r="C54" s="1">
        <v>143</v>
      </c>
      <c r="D54" s="1">
        <v>11</v>
      </c>
      <c r="E54" s="1" t="s">
        <v>201</v>
      </c>
      <c r="F54" s="1" t="s">
        <v>63</v>
      </c>
      <c r="G54" s="1"/>
      <c r="H54" s="1"/>
      <c r="I54" s="1"/>
      <c r="J54" s="1"/>
      <c r="K54" s="1"/>
      <c r="L54" s="1"/>
      <c r="M54" s="1"/>
    </row>
    <row r="55" spans="1:13" x14ac:dyDescent="0.25">
      <c r="B55" s="1" t="s">
        <v>200</v>
      </c>
      <c r="C55" s="1">
        <v>156</v>
      </c>
      <c r="D55" s="1">
        <v>12</v>
      </c>
      <c r="E55" s="1" t="s">
        <v>202</v>
      </c>
      <c r="F55" s="1" t="s">
        <v>63</v>
      </c>
      <c r="G55" s="1"/>
      <c r="H55" s="1"/>
      <c r="I55" s="1"/>
      <c r="J55" s="1"/>
      <c r="K55" s="1"/>
      <c r="L55" s="1"/>
      <c r="M55" s="1"/>
    </row>
    <row r="56" spans="1:13" x14ac:dyDescent="0.25">
      <c r="A56" t="s">
        <v>216</v>
      </c>
      <c r="B56" s="1" t="s">
        <v>217</v>
      </c>
      <c r="C56" s="3">
        <v>0</v>
      </c>
      <c r="D56" s="1">
        <v>0</v>
      </c>
      <c r="F56" s="1"/>
      <c r="G56" s="1"/>
      <c r="H56" s="1"/>
      <c r="M56" s="1"/>
    </row>
    <row r="57" spans="1:13" x14ac:dyDescent="0.25">
      <c r="B57" s="1" t="s">
        <v>219</v>
      </c>
      <c r="C57" s="1">
        <v>5</v>
      </c>
      <c r="D57" s="1">
        <v>1</v>
      </c>
      <c r="E57" s="1" t="s">
        <v>219</v>
      </c>
      <c r="F57" s="1"/>
      <c r="G57" s="1"/>
      <c r="H57" s="1"/>
      <c r="M57" s="1"/>
    </row>
    <row r="58" spans="1:13" x14ac:dyDescent="0.25">
      <c r="B58" s="1" t="s">
        <v>218</v>
      </c>
      <c r="C58" s="1">
        <v>10</v>
      </c>
      <c r="D58" s="1">
        <v>2</v>
      </c>
      <c r="E58" s="1" t="s">
        <v>218</v>
      </c>
      <c r="F58" s="1"/>
      <c r="G58" s="1"/>
      <c r="H58" s="1"/>
      <c r="M58" s="1"/>
    </row>
    <row r="59" spans="1:13" x14ac:dyDescent="0.25">
      <c r="A59" t="s">
        <v>51</v>
      </c>
      <c r="B59" s="3" t="s">
        <v>27</v>
      </c>
      <c r="C59" s="2">
        <v>0</v>
      </c>
      <c r="D59" s="1">
        <v>0</v>
      </c>
      <c r="E59" s="1"/>
      <c r="F59" s="1"/>
      <c r="G59" s="1"/>
      <c r="H59" s="1"/>
      <c r="M59" s="1"/>
    </row>
    <row r="60" spans="1:13" x14ac:dyDescent="0.25">
      <c r="B60" s="1" t="s">
        <v>0</v>
      </c>
      <c r="C60" s="1">
        <v>3</v>
      </c>
      <c r="D60" s="1">
        <v>1</v>
      </c>
      <c r="E60" s="1" t="s">
        <v>77</v>
      </c>
      <c r="F60" s="1"/>
      <c r="G60" s="1"/>
      <c r="H60" s="1"/>
      <c r="M60" s="1"/>
    </row>
    <row r="61" spans="1:13" x14ac:dyDescent="0.25">
      <c r="B61" s="1" t="s">
        <v>1</v>
      </c>
      <c r="C61" s="1">
        <v>6</v>
      </c>
      <c r="D61" s="1">
        <v>2</v>
      </c>
      <c r="E61" s="1" t="s">
        <v>78</v>
      </c>
      <c r="F61" s="1"/>
      <c r="G61" s="1"/>
      <c r="H61" s="1"/>
      <c r="M61" s="1"/>
    </row>
    <row r="62" spans="1:13" x14ac:dyDescent="0.25">
      <c r="B62" s="1" t="s">
        <v>2</v>
      </c>
      <c r="C62" s="1">
        <v>9</v>
      </c>
      <c r="D62" s="1">
        <v>3</v>
      </c>
      <c r="E62" s="1" t="s">
        <v>79</v>
      </c>
      <c r="F62" s="1"/>
      <c r="G62" s="1"/>
      <c r="H62" s="1"/>
      <c r="M62" s="1"/>
    </row>
    <row r="63" spans="1:13" x14ac:dyDescent="0.25">
      <c r="B63" s="1" t="s">
        <v>3</v>
      </c>
      <c r="C63" s="1">
        <v>12</v>
      </c>
      <c r="D63" s="1">
        <v>4</v>
      </c>
      <c r="E63" s="1" t="s">
        <v>80</v>
      </c>
      <c r="F63" s="1"/>
      <c r="G63" s="1"/>
      <c r="H63" s="1"/>
      <c r="M63" s="1"/>
    </row>
    <row r="64" spans="1:13" x14ac:dyDescent="0.25">
      <c r="B64" s="1" t="s">
        <v>286</v>
      </c>
      <c r="C64" s="1">
        <v>15</v>
      </c>
      <c r="D64" s="1">
        <v>5</v>
      </c>
      <c r="E64" s="1" t="s">
        <v>287</v>
      </c>
      <c r="F64" s="1"/>
      <c r="G64" s="1"/>
      <c r="H64" s="1"/>
      <c r="M64" s="1"/>
    </row>
    <row r="65" spans="1:13" x14ac:dyDescent="0.25">
      <c r="A65" t="s">
        <v>53</v>
      </c>
      <c r="B65" s="3" t="s">
        <v>28</v>
      </c>
      <c r="C65" s="3">
        <v>0</v>
      </c>
      <c r="D65" s="1">
        <v>0</v>
      </c>
      <c r="E65" s="1"/>
      <c r="F65" s="1"/>
      <c r="G65" s="1"/>
      <c r="H65" s="1"/>
      <c r="M65" s="1"/>
    </row>
    <row r="66" spans="1:13" x14ac:dyDescent="0.25">
      <c r="B66" s="1" t="s">
        <v>4</v>
      </c>
      <c r="C66" s="1">
        <v>10</v>
      </c>
      <c r="D66" s="1">
        <v>5</v>
      </c>
      <c r="E66" s="1" t="s">
        <v>81</v>
      </c>
      <c r="F66" s="1"/>
      <c r="G66" s="1"/>
      <c r="H66" s="1"/>
      <c r="M66" s="1"/>
    </row>
    <row r="67" spans="1:13" x14ac:dyDescent="0.25">
      <c r="B67" s="1" t="s">
        <v>5</v>
      </c>
      <c r="C67" s="1">
        <v>12</v>
      </c>
      <c r="D67" s="1">
        <v>6</v>
      </c>
      <c r="E67" s="1" t="s">
        <v>82</v>
      </c>
      <c r="F67" s="1"/>
      <c r="G67" s="1"/>
      <c r="H67" s="1"/>
      <c r="I67" s="1"/>
      <c r="M67" s="1"/>
    </row>
    <row r="68" spans="1:13" x14ac:dyDescent="0.25">
      <c r="B68" s="1" t="s">
        <v>6</v>
      </c>
      <c r="C68" s="1">
        <v>14</v>
      </c>
      <c r="D68" s="1">
        <v>7</v>
      </c>
      <c r="E68" s="1" t="s">
        <v>83</v>
      </c>
      <c r="F68" s="1"/>
      <c r="G68" s="1"/>
      <c r="H68" s="1"/>
      <c r="I68" s="1"/>
      <c r="M68" s="1"/>
    </row>
    <row r="69" spans="1:13" x14ac:dyDescent="0.25">
      <c r="B69" s="1" t="s">
        <v>7</v>
      </c>
      <c r="C69" s="1">
        <v>16</v>
      </c>
      <c r="D69" s="1">
        <v>8</v>
      </c>
      <c r="E69" s="1" t="s">
        <v>84</v>
      </c>
      <c r="F69" s="1"/>
      <c r="G69" s="1"/>
      <c r="H69" s="1"/>
      <c r="I69" s="1"/>
      <c r="J69" s="1"/>
      <c r="K69" s="1"/>
      <c r="L69" s="1"/>
      <c r="M69" s="1"/>
    </row>
    <row r="70" spans="1:13" x14ac:dyDescent="0.25">
      <c r="B70" s="1" t="s">
        <v>8</v>
      </c>
      <c r="C70" s="1">
        <v>18</v>
      </c>
      <c r="D70" s="1">
        <v>9</v>
      </c>
      <c r="E70" s="1" t="s">
        <v>85</v>
      </c>
      <c r="F70" s="1"/>
      <c r="G70" s="1"/>
      <c r="H70" s="1"/>
      <c r="I70" s="1"/>
      <c r="J70" s="1"/>
      <c r="K70" s="1"/>
      <c r="L70" s="1"/>
      <c r="M70" s="1"/>
    </row>
    <row r="71" spans="1:13" x14ac:dyDescent="0.25">
      <c r="B71" s="1" t="s">
        <v>9</v>
      </c>
      <c r="C71" s="1">
        <v>20</v>
      </c>
      <c r="D71" s="1">
        <v>10</v>
      </c>
      <c r="E71" s="1" t="s">
        <v>86</v>
      </c>
      <c r="F71" s="1"/>
      <c r="G71" s="1"/>
      <c r="H71" s="1"/>
      <c r="I71" s="1"/>
      <c r="J71" s="1"/>
      <c r="K71" s="1"/>
      <c r="L71" s="1"/>
      <c r="M71" s="1"/>
    </row>
    <row r="72" spans="1:13" x14ac:dyDescent="0.25">
      <c r="B72" s="1" t="s">
        <v>190</v>
      </c>
      <c r="C72" s="1">
        <v>22</v>
      </c>
      <c r="D72" s="1">
        <v>11</v>
      </c>
      <c r="E72" s="1" t="s">
        <v>192</v>
      </c>
      <c r="F72" s="1"/>
      <c r="G72" s="1"/>
      <c r="H72" s="1"/>
      <c r="I72" s="1"/>
      <c r="J72" s="1"/>
      <c r="K72" s="1"/>
      <c r="L72" s="1"/>
      <c r="M72" s="1"/>
    </row>
    <row r="73" spans="1:13" x14ac:dyDescent="0.25">
      <c r="B73" s="1" t="s">
        <v>191</v>
      </c>
      <c r="C73" s="1">
        <v>24</v>
      </c>
      <c r="D73" s="1">
        <v>12</v>
      </c>
      <c r="E73" s="1" t="s">
        <v>193</v>
      </c>
      <c r="F73" s="1"/>
      <c r="G73" s="1"/>
      <c r="H73" s="1"/>
      <c r="I73" s="1"/>
      <c r="J73" s="1"/>
      <c r="K73" s="1"/>
      <c r="L73" s="1"/>
      <c r="M73" s="1"/>
    </row>
    <row r="74" spans="1:13" x14ac:dyDescent="0.25">
      <c r="A74" t="s">
        <v>52</v>
      </c>
      <c r="B74" s="1" t="s">
        <v>30</v>
      </c>
      <c r="C74" s="1">
        <v>0</v>
      </c>
      <c r="D74" s="1">
        <v>0</v>
      </c>
      <c r="E74" s="1"/>
      <c r="F74" s="1"/>
      <c r="G74" s="1"/>
      <c r="H74" s="1"/>
      <c r="I74" s="1" t="s">
        <v>30</v>
      </c>
      <c r="J74" s="1"/>
      <c r="K74" s="1"/>
      <c r="L74" s="1"/>
      <c r="M74" s="1"/>
    </row>
    <row r="75" spans="1:13" x14ac:dyDescent="0.25">
      <c r="B75" s="1" t="s">
        <v>149</v>
      </c>
      <c r="C75" s="1">
        <v>17</v>
      </c>
      <c r="D75" s="1">
        <v>1</v>
      </c>
      <c r="E75" s="1" t="s">
        <v>152</v>
      </c>
      <c r="F75" s="1" t="s">
        <v>62</v>
      </c>
      <c r="G75" s="1"/>
      <c r="H75" s="1"/>
      <c r="I75" s="1" t="s">
        <v>152</v>
      </c>
      <c r="J75" s="1"/>
      <c r="K75" s="1"/>
    </row>
    <row r="76" spans="1:13" x14ac:dyDescent="0.25">
      <c r="B76" s="1" t="s">
        <v>150</v>
      </c>
      <c r="C76" s="1">
        <v>21</v>
      </c>
      <c r="D76" s="1">
        <v>1</v>
      </c>
      <c r="E76" s="1" t="s">
        <v>152</v>
      </c>
      <c r="F76" s="1" t="s">
        <v>63</v>
      </c>
      <c r="G76" s="1"/>
      <c r="H76" s="1"/>
      <c r="I76" s="1" t="s">
        <v>308</v>
      </c>
      <c r="J76" s="1"/>
      <c r="K76" s="1"/>
    </row>
    <row r="77" spans="1:13" x14ac:dyDescent="0.25">
      <c r="B77" s="1" t="s">
        <v>151</v>
      </c>
      <c r="C77" s="1">
        <v>25</v>
      </c>
      <c r="D77" s="1">
        <v>1</v>
      </c>
      <c r="E77" s="1" t="s">
        <v>152</v>
      </c>
      <c r="F77" s="1" t="s">
        <v>64</v>
      </c>
      <c r="G77" s="1"/>
      <c r="H77" s="1"/>
      <c r="I77" s="1" t="s">
        <v>309</v>
      </c>
      <c r="J77" s="1"/>
      <c r="K77" s="1"/>
    </row>
    <row r="78" spans="1:13" x14ac:dyDescent="0.25">
      <c r="B78" s="1" t="s">
        <v>315</v>
      </c>
      <c r="C78" s="1">
        <v>32</v>
      </c>
      <c r="D78" s="1">
        <v>1</v>
      </c>
      <c r="E78" s="1" t="s">
        <v>308</v>
      </c>
      <c r="F78" s="1" t="s">
        <v>62</v>
      </c>
      <c r="G78" s="1"/>
      <c r="H78" s="1"/>
      <c r="I78" s="1" t="s">
        <v>212</v>
      </c>
      <c r="J78" s="1"/>
      <c r="K78" s="1"/>
    </row>
    <row r="79" spans="1:13" x14ac:dyDescent="0.25">
      <c r="B79" s="1" t="s">
        <v>316</v>
      </c>
      <c r="C79" s="1">
        <v>36</v>
      </c>
      <c r="D79" s="1">
        <v>1</v>
      </c>
      <c r="E79" s="1" t="s">
        <v>308</v>
      </c>
      <c r="F79" s="1" t="s">
        <v>63</v>
      </c>
      <c r="G79" s="1"/>
      <c r="H79" s="1"/>
      <c r="I79" s="1" t="s">
        <v>306</v>
      </c>
      <c r="J79" s="1"/>
      <c r="K79" s="1"/>
    </row>
    <row r="80" spans="1:13" x14ac:dyDescent="0.25">
      <c r="B80" s="1" t="s">
        <v>317</v>
      </c>
      <c r="C80" s="1">
        <v>40</v>
      </c>
      <c r="D80" s="1">
        <v>1</v>
      </c>
      <c r="E80" s="1" t="s">
        <v>308</v>
      </c>
      <c r="F80" s="1" t="s">
        <v>64</v>
      </c>
      <c r="G80" s="1"/>
      <c r="H80" s="1"/>
      <c r="I80" s="1" t="s">
        <v>307</v>
      </c>
      <c r="J80" s="1"/>
      <c r="K80" s="1"/>
    </row>
    <row r="81" spans="2:11" x14ac:dyDescent="0.25">
      <c r="B81" s="1" t="s">
        <v>318</v>
      </c>
      <c r="C81" s="1">
        <v>42</v>
      </c>
      <c r="D81" s="1">
        <v>1</v>
      </c>
      <c r="E81" s="1" t="s">
        <v>309</v>
      </c>
      <c r="F81" s="1" t="s">
        <v>62</v>
      </c>
      <c r="G81" s="1"/>
      <c r="H81" s="1"/>
      <c r="I81" s="1" t="s">
        <v>213</v>
      </c>
      <c r="J81" s="1"/>
      <c r="K81" s="1"/>
    </row>
    <row r="82" spans="2:11" x14ac:dyDescent="0.25">
      <c r="B82" s="1" t="s">
        <v>319</v>
      </c>
      <c r="C82" s="1">
        <v>46</v>
      </c>
      <c r="D82" s="1">
        <v>1</v>
      </c>
      <c r="E82" s="1" t="s">
        <v>309</v>
      </c>
      <c r="F82" s="1" t="s">
        <v>63</v>
      </c>
      <c r="G82" s="1"/>
      <c r="H82" s="1"/>
      <c r="I82" s="1" t="s">
        <v>310</v>
      </c>
      <c r="J82" s="1"/>
      <c r="K82" s="1"/>
    </row>
    <row r="83" spans="2:11" x14ac:dyDescent="0.25">
      <c r="B83" s="1" t="s">
        <v>320</v>
      </c>
      <c r="C83" s="1">
        <v>50</v>
      </c>
      <c r="D83" s="1">
        <v>1</v>
      </c>
      <c r="E83" s="1" t="s">
        <v>309</v>
      </c>
      <c r="F83" s="1" t="s">
        <v>64</v>
      </c>
      <c r="G83" s="1"/>
      <c r="H83" s="1"/>
      <c r="I83" s="1" t="s">
        <v>311</v>
      </c>
      <c r="J83" s="1"/>
      <c r="K83" s="1"/>
    </row>
    <row r="84" spans="2:11" x14ac:dyDescent="0.25">
      <c r="B84" s="1" t="s">
        <v>297</v>
      </c>
      <c r="C84" s="1">
        <v>31</v>
      </c>
      <c r="D84" s="1">
        <v>1</v>
      </c>
      <c r="E84" s="1" t="s">
        <v>212</v>
      </c>
      <c r="F84" s="1" t="s">
        <v>62</v>
      </c>
      <c r="G84" s="1"/>
      <c r="H84" s="1"/>
      <c r="I84" s="1" t="s">
        <v>214</v>
      </c>
      <c r="J84" s="1"/>
      <c r="K84" s="1"/>
    </row>
    <row r="85" spans="2:11" x14ac:dyDescent="0.25">
      <c r="B85" s="1" t="s">
        <v>298</v>
      </c>
      <c r="C85" s="1">
        <v>39</v>
      </c>
      <c r="D85" s="1">
        <v>1</v>
      </c>
      <c r="E85" s="1" t="s">
        <v>212</v>
      </c>
      <c r="F85" s="1" t="s">
        <v>63</v>
      </c>
      <c r="G85" s="1"/>
      <c r="H85" s="1"/>
      <c r="I85" s="1" t="s">
        <v>312</v>
      </c>
      <c r="J85" s="1"/>
      <c r="K85" s="1"/>
    </row>
    <row r="86" spans="2:11" x14ac:dyDescent="0.25">
      <c r="B86" s="1" t="s">
        <v>299</v>
      </c>
      <c r="C86" s="1">
        <v>47</v>
      </c>
      <c r="D86" s="1">
        <v>1</v>
      </c>
      <c r="E86" s="1" t="s">
        <v>212</v>
      </c>
      <c r="F86" s="1" t="s">
        <v>64</v>
      </c>
      <c r="G86" s="1"/>
      <c r="H86" s="1"/>
      <c r="I86" s="1" t="s">
        <v>215</v>
      </c>
      <c r="J86" s="1"/>
      <c r="K86" s="1"/>
    </row>
    <row r="87" spans="2:11" x14ac:dyDescent="0.25">
      <c r="B87" s="1" t="s">
        <v>321</v>
      </c>
      <c r="C87" s="1">
        <v>46</v>
      </c>
      <c r="D87" s="1">
        <v>1</v>
      </c>
      <c r="E87" s="1" t="s">
        <v>306</v>
      </c>
      <c r="F87" s="1" t="s">
        <v>62</v>
      </c>
      <c r="G87" s="1"/>
      <c r="H87" s="1"/>
      <c r="I87" s="1" t="s">
        <v>336</v>
      </c>
      <c r="J87" s="1"/>
      <c r="K87" s="1"/>
    </row>
    <row r="88" spans="2:11" x14ac:dyDescent="0.25">
      <c r="B88" s="1" t="s">
        <v>322</v>
      </c>
      <c r="C88" s="1">
        <v>54</v>
      </c>
      <c r="D88" s="1">
        <v>1</v>
      </c>
      <c r="E88" s="1" t="s">
        <v>306</v>
      </c>
      <c r="F88" s="1" t="s">
        <v>63</v>
      </c>
      <c r="G88" s="1"/>
      <c r="H88" s="1"/>
      <c r="I88" s="1" t="s">
        <v>337</v>
      </c>
      <c r="J88" s="1"/>
      <c r="K88" s="1"/>
    </row>
    <row r="89" spans="2:11" x14ac:dyDescent="0.25">
      <c r="B89" s="1" t="s">
        <v>323</v>
      </c>
      <c r="C89" s="1">
        <v>62</v>
      </c>
      <c r="D89" s="1">
        <v>1</v>
      </c>
      <c r="E89" s="1" t="s">
        <v>306</v>
      </c>
      <c r="F89" s="1" t="s">
        <v>64</v>
      </c>
      <c r="G89" s="1"/>
      <c r="H89" s="1"/>
      <c r="I89" s="1"/>
      <c r="J89" s="1"/>
      <c r="K89" s="1"/>
    </row>
    <row r="90" spans="2:11" x14ac:dyDescent="0.25">
      <c r="B90" s="1" t="s">
        <v>324</v>
      </c>
      <c r="C90" s="1">
        <v>56</v>
      </c>
      <c r="D90" s="1">
        <v>1</v>
      </c>
      <c r="E90" s="1" t="s">
        <v>307</v>
      </c>
      <c r="F90" s="1" t="s">
        <v>62</v>
      </c>
      <c r="G90" s="1"/>
      <c r="H90" s="1"/>
      <c r="I90" s="1"/>
      <c r="J90" s="1"/>
      <c r="K90" s="1"/>
    </row>
    <row r="91" spans="2:11" x14ac:dyDescent="0.25">
      <c r="B91" s="1" t="s">
        <v>325</v>
      </c>
      <c r="C91" s="1">
        <v>64</v>
      </c>
      <c r="D91" s="1">
        <v>1</v>
      </c>
      <c r="E91" s="1" t="s">
        <v>307</v>
      </c>
      <c r="F91" s="1" t="s">
        <v>63</v>
      </c>
      <c r="G91" s="1"/>
      <c r="H91" s="1"/>
      <c r="I91" s="1"/>
      <c r="J91" s="1"/>
      <c r="K91" s="1"/>
    </row>
    <row r="92" spans="2:11" x14ac:dyDescent="0.25">
      <c r="B92" s="1" t="s">
        <v>326</v>
      </c>
      <c r="C92" s="1">
        <v>72</v>
      </c>
      <c r="D92" s="1">
        <v>1</v>
      </c>
      <c r="E92" s="1" t="s">
        <v>307</v>
      </c>
      <c r="F92" s="1" t="s">
        <v>64</v>
      </c>
      <c r="G92" s="1"/>
      <c r="H92" s="1"/>
      <c r="I92" s="1"/>
      <c r="J92" s="1"/>
      <c r="K92" s="1"/>
    </row>
    <row r="93" spans="2:11" x14ac:dyDescent="0.25">
      <c r="B93" s="1" t="s">
        <v>300</v>
      </c>
      <c r="C93" s="1">
        <v>25</v>
      </c>
      <c r="D93" s="1">
        <v>1</v>
      </c>
      <c r="E93" s="1" t="s">
        <v>213</v>
      </c>
      <c r="F93" s="1" t="s">
        <v>62</v>
      </c>
      <c r="G93" s="1"/>
      <c r="H93" s="1"/>
      <c r="I93" s="1"/>
      <c r="J93" s="1"/>
      <c r="K93" s="1"/>
    </row>
    <row r="94" spans="2:11" x14ac:dyDescent="0.25">
      <c r="B94" s="1" t="s">
        <v>301</v>
      </c>
      <c r="C94" s="1">
        <v>31</v>
      </c>
      <c r="D94" s="1">
        <v>1</v>
      </c>
      <c r="E94" s="1" t="s">
        <v>213</v>
      </c>
      <c r="F94" s="1" t="s">
        <v>63</v>
      </c>
      <c r="G94" s="1"/>
      <c r="H94" s="1"/>
      <c r="I94" s="1"/>
      <c r="J94" s="1"/>
      <c r="K94" s="1"/>
    </row>
    <row r="95" spans="2:11" x14ac:dyDescent="0.25">
      <c r="B95" s="1" t="s">
        <v>302</v>
      </c>
      <c r="C95" s="1">
        <v>37</v>
      </c>
      <c r="D95" s="1">
        <v>1</v>
      </c>
      <c r="E95" s="1" t="s">
        <v>213</v>
      </c>
      <c r="F95" s="1" t="s">
        <v>64</v>
      </c>
      <c r="G95" s="1"/>
      <c r="H95" s="1"/>
      <c r="I95" s="1"/>
      <c r="J95" s="1"/>
      <c r="K95" s="1"/>
    </row>
    <row r="96" spans="2:11" x14ac:dyDescent="0.25">
      <c r="B96" s="1" t="s">
        <v>327</v>
      </c>
      <c r="C96" s="1">
        <v>40</v>
      </c>
      <c r="D96" s="1">
        <v>1</v>
      </c>
      <c r="E96" s="1" t="s">
        <v>310</v>
      </c>
      <c r="F96" s="1" t="s">
        <v>62</v>
      </c>
      <c r="G96" s="1"/>
      <c r="H96" s="1"/>
      <c r="I96" s="1"/>
      <c r="J96" s="1"/>
      <c r="K96" s="1"/>
    </row>
    <row r="97" spans="2:11" x14ac:dyDescent="0.25">
      <c r="B97" s="1" t="s">
        <v>328</v>
      </c>
      <c r="C97" s="1">
        <v>46</v>
      </c>
      <c r="D97" s="1">
        <v>1</v>
      </c>
      <c r="E97" s="1" t="s">
        <v>310</v>
      </c>
      <c r="F97" s="1" t="s">
        <v>63</v>
      </c>
      <c r="G97" s="1"/>
      <c r="H97" s="1"/>
      <c r="I97" s="1"/>
      <c r="J97" s="1"/>
      <c r="K97" s="1"/>
    </row>
    <row r="98" spans="2:11" x14ac:dyDescent="0.25">
      <c r="B98" s="1" t="s">
        <v>329</v>
      </c>
      <c r="C98" s="1">
        <v>52</v>
      </c>
      <c r="D98" s="1">
        <v>1</v>
      </c>
      <c r="E98" s="1" t="s">
        <v>310</v>
      </c>
      <c r="F98" s="1" t="s">
        <v>64</v>
      </c>
      <c r="G98" s="1"/>
      <c r="H98" s="1"/>
      <c r="I98" s="1"/>
      <c r="J98" s="1"/>
      <c r="K98" s="1"/>
    </row>
    <row r="99" spans="2:11" x14ac:dyDescent="0.25">
      <c r="B99" s="1" t="s">
        <v>330</v>
      </c>
      <c r="C99" s="1">
        <v>50</v>
      </c>
      <c r="D99" s="1">
        <v>1</v>
      </c>
      <c r="E99" s="1" t="s">
        <v>311</v>
      </c>
      <c r="F99" s="1" t="s">
        <v>62</v>
      </c>
      <c r="G99" s="1"/>
      <c r="H99" s="1"/>
      <c r="I99" s="1"/>
      <c r="J99" s="1"/>
      <c r="K99" s="1"/>
    </row>
    <row r="100" spans="2:11" x14ac:dyDescent="0.25">
      <c r="B100" s="1" t="s">
        <v>331</v>
      </c>
      <c r="C100" s="1">
        <v>56</v>
      </c>
      <c r="D100" s="1">
        <v>1</v>
      </c>
      <c r="E100" s="1" t="s">
        <v>311</v>
      </c>
      <c r="F100" s="1" t="s">
        <v>63</v>
      </c>
      <c r="G100" s="1"/>
      <c r="H100" s="1"/>
      <c r="I100" s="1"/>
      <c r="J100" s="1"/>
      <c r="K100" s="1"/>
    </row>
    <row r="101" spans="2:11" x14ac:dyDescent="0.25">
      <c r="B101" s="1" t="s">
        <v>332</v>
      </c>
      <c r="C101" s="1">
        <v>62</v>
      </c>
      <c r="D101" s="1">
        <v>1</v>
      </c>
      <c r="E101" s="1" t="s">
        <v>311</v>
      </c>
      <c r="F101" s="1" t="s">
        <v>64</v>
      </c>
      <c r="G101" s="1"/>
      <c r="H101" s="1"/>
      <c r="I101" s="1"/>
      <c r="J101" s="1"/>
      <c r="K101" s="1"/>
    </row>
    <row r="102" spans="2:11" x14ac:dyDescent="0.25">
      <c r="B102" s="1" t="s">
        <v>220</v>
      </c>
      <c r="C102" s="1">
        <v>12</v>
      </c>
      <c r="D102" s="1">
        <v>1</v>
      </c>
      <c r="E102" s="1" t="s">
        <v>214</v>
      </c>
      <c r="F102" s="1" t="s">
        <v>62</v>
      </c>
      <c r="G102" s="1"/>
      <c r="H102" s="1"/>
      <c r="I102" s="1"/>
      <c r="J102" s="1"/>
      <c r="K102" s="1"/>
    </row>
    <row r="103" spans="2:11" x14ac:dyDescent="0.25">
      <c r="B103" s="1" t="s">
        <v>221</v>
      </c>
      <c r="C103" s="1">
        <v>15</v>
      </c>
      <c r="D103" s="1">
        <v>1</v>
      </c>
      <c r="E103" s="1" t="s">
        <v>214</v>
      </c>
      <c r="F103" s="1" t="s">
        <v>63</v>
      </c>
      <c r="G103" s="1"/>
      <c r="H103" s="1"/>
      <c r="I103" s="1"/>
      <c r="J103" s="1"/>
      <c r="K103" s="1"/>
    </row>
    <row r="104" spans="2:11" x14ac:dyDescent="0.25">
      <c r="B104" s="1" t="s">
        <v>288</v>
      </c>
      <c r="C104" s="1">
        <v>18</v>
      </c>
      <c r="D104" s="1">
        <v>1</v>
      </c>
      <c r="E104" s="1" t="s">
        <v>214</v>
      </c>
      <c r="F104" s="1" t="s">
        <v>64</v>
      </c>
      <c r="G104" s="1"/>
      <c r="H104" s="1"/>
      <c r="I104" s="1"/>
      <c r="J104" s="1"/>
      <c r="K104" s="1"/>
    </row>
    <row r="105" spans="2:11" x14ac:dyDescent="0.25">
      <c r="B105" s="1" t="s">
        <v>333</v>
      </c>
      <c r="C105" s="1">
        <v>37</v>
      </c>
      <c r="D105" s="1">
        <v>1</v>
      </c>
      <c r="E105" s="1" t="s">
        <v>312</v>
      </c>
      <c r="F105" s="1" t="s">
        <v>62</v>
      </c>
      <c r="G105" s="1"/>
      <c r="H105" s="1"/>
      <c r="I105" s="1"/>
      <c r="J105" s="1"/>
      <c r="K105" s="1"/>
    </row>
    <row r="106" spans="2:11" x14ac:dyDescent="0.25">
      <c r="B106" s="1" t="s">
        <v>334</v>
      </c>
      <c r="C106" s="1">
        <v>40</v>
      </c>
      <c r="D106" s="1">
        <v>1</v>
      </c>
      <c r="E106" s="1" t="s">
        <v>312</v>
      </c>
      <c r="F106" s="1" t="s">
        <v>63</v>
      </c>
      <c r="G106" s="1"/>
      <c r="H106" s="1"/>
      <c r="I106" s="1"/>
      <c r="J106" s="1"/>
      <c r="K106" s="1"/>
    </row>
    <row r="107" spans="2:11" x14ac:dyDescent="0.25">
      <c r="B107" s="1" t="s">
        <v>335</v>
      </c>
      <c r="C107" s="1">
        <v>43</v>
      </c>
      <c r="D107" s="1">
        <v>1</v>
      </c>
      <c r="E107" s="1" t="s">
        <v>312</v>
      </c>
      <c r="F107" s="1" t="s">
        <v>64</v>
      </c>
      <c r="G107" s="1"/>
      <c r="H107" s="1"/>
      <c r="I107" s="1"/>
      <c r="J107" s="1"/>
      <c r="K107" s="1"/>
    </row>
    <row r="108" spans="2:11" x14ac:dyDescent="0.25">
      <c r="B108" s="1" t="s">
        <v>338</v>
      </c>
      <c r="C108" s="1">
        <v>79</v>
      </c>
      <c r="D108" s="1">
        <v>1</v>
      </c>
      <c r="E108" s="1" t="s">
        <v>215</v>
      </c>
      <c r="F108" s="1" t="s">
        <v>62</v>
      </c>
      <c r="G108" s="1"/>
      <c r="H108" s="1"/>
      <c r="I108" s="1"/>
      <c r="J108" s="1"/>
      <c r="K108" s="1"/>
    </row>
    <row r="109" spans="2:11" x14ac:dyDescent="0.25">
      <c r="B109" s="1" t="s">
        <v>339</v>
      </c>
      <c r="C109" s="1">
        <v>99</v>
      </c>
      <c r="D109" s="1">
        <v>1</v>
      </c>
      <c r="E109" s="1" t="s">
        <v>215</v>
      </c>
      <c r="F109" s="1" t="s">
        <v>63</v>
      </c>
      <c r="G109" s="1"/>
      <c r="H109" s="1"/>
      <c r="I109" s="1"/>
      <c r="J109" s="1"/>
      <c r="K109" s="1"/>
    </row>
    <row r="110" spans="2:11" x14ac:dyDescent="0.25">
      <c r="B110" s="1" t="s">
        <v>340</v>
      </c>
      <c r="C110" s="1">
        <v>119</v>
      </c>
      <c r="D110" s="1">
        <v>1</v>
      </c>
      <c r="E110" s="1" t="s">
        <v>215</v>
      </c>
      <c r="F110" s="1" t="s">
        <v>64</v>
      </c>
      <c r="G110" s="1"/>
      <c r="H110" s="1"/>
      <c r="I110" s="1"/>
      <c r="J110" s="1"/>
      <c r="K110" s="1"/>
    </row>
    <row r="111" spans="2:11" x14ac:dyDescent="0.25">
      <c r="B111" s="1" t="s">
        <v>341</v>
      </c>
      <c r="C111" s="1">
        <v>94</v>
      </c>
      <c r="D111" s="1">
        <v>1</v>
      </c>
      <c r="E111" s="1" t="s">
        <v>314</v>
      </c>
      <c r="F111" s="1" t="s">
        <v>62</v>
      </c>
      <c r="G111" s="1"/>
      <c r="H111" s="1"/>
      <c r="I111" s="1"/>
      <c r="J111" s="1"/>
      <c r="K111" s="1"/>
    </row>
    <row r="112" spans="2:11" x14ac:dyDescent="0.25">
      <c r="B112" s="1" t="s">
        <v>342</v>
      </c>
      <c r="C112" s="1">
        <v>114</v>
      </c>
      <c r="D112" s="1">
        <v>1</v>
      </c>
      <c r="E112" s="1" t="s">
        <v>314</v>
      </c>
      <c r="F112" s="1" t="s">
        <v>63</v>
      </c>
      <c r="G112" s="1"/>
      <c r="H112" s="1"/>
      <c r="I112" s="1"/>
      <c r="J112" s="1"/>
      <c r="K112" s="1"/>
    </row>
    <row r="113" spans="1:14" x14ac:dyDescent="0.25">
      <c r="B113" s="1" t="s">
        <v>343</v>
      </c>
      <c r="C113" s="1">
        <v>134</v>
      </c>
      <c r="D113" s="1">
        <v>1</v>
      </c>
      <c r="E113" s="1" t="s">
        <v>314</v>
      </c>
      <c r="F113" s="1" t="s">
        <v>64</v>
      </c>
      <c r="G113" s="1"/>
      <c r="H113" s="1"/>
      <c r="I113" s="1"/>
      <c r="J113" s="1"/>
      <c r="K113" s="1"/>
    </row>
    <row r="114" spans="1:14" x14ac:dyDescent="0.25">
      <c r="B114" s="1" t="s">
        <v>344</v>
      </c>
      <c r="C114" s="1">
        <v>109</v>
      </c>
      <c r="D114" s="1">
        <v>1</v>
      </c>
      <c r="E114" s="1" t="s">
        <v>313</v>
      </c>
      <c r="F114" s="1" t="s">
        <v>62</v>
      </c>
      <c r="G114" s="1"/>
      <c r="H114" s="1"/>
      <c r="I114" s="1"/>
      <c r="J114" s="1"/>
      <c r="K114" s="1"/>
    </row>
    <row r="115" spans="1:14" x14ac:dyDescent="0.25">
      <c r="B115" s="1" t="s">
        <v>345</v>
      </c>
      <c r="C115" s="1">
        <v>129</v>
      </c>
      <c r="D115" s="1">
        <v>1</v>
      </c>
      <c r="E115" s="1" t="s">
        <v>313</v>
      </c>
      <c r="F115" s="1" t="s">
        <v>63</v>
      </c>
      <c r="G115" s="1"/>
      <c r="H115" s="1"/>
      <c r="I115" s="1"/>
      <c r="J115" s="1"/>
      <c r="K115" s="1"/>
    </row>
    <row r="116" spans="1:14" x14ac:dyDescent="0.25">
      <c r="B116" s="1" t="s">
        <v>346</v>
      </c>
      <c r="C116" s="1">
        <v>149</v>
      </c>
      <c r="D116" s="1">
        <v>1</v>
      </c>
      <c r="E116" s="1" t="s">
        <v>313</v>
      </c>
      <c r="F116" s="1" t="s">
        <v>64</v>
      </c>
      <c r="G116" s="1"/>
      <c r="H116" s="1"/>
      <c r="I116" s="1"/>
      <c r="J116" s="1"/>
      <c r="K116" s="1"/>
    </row>
    <row r="117" spans="1:14" x14ac:dyDescent="0.25">
      <c r="A117" t="s">
        <v>42</v>
      </c>
      <c r="B117" s="1" t="s">
        <v>30</v>
      </c>
      <c r="C117" s="1">
        <v>0</v>
      </c>
      <c r="D117" s="1">
        <v>0</v>
      </c>
      <c r="E117" s="1"/>
      <c r="F117" s="1"/>
      <c r="G117" s="1"/>
      <c r="H117" s="1"/>
      <c r="I117" s="1" t="s">
        <v>30</v>
      </c>
      <c r="J117" s="1"/>
      <c r="K117" s="1"/>
      <c r="L117" s="1"/>
      <c r="M117" s="1"/>
    </row>
    <row r="118" spans="1:14" x14ac:dyDescent="0.25">
      <c r="A118" s="1"/>
      <c r="B118" s="1" t="s">
        <v>29</v>
      </c>
      <c r="C118" s="1">
        <v>30</v>
      </c>
      <c r="D118" s="1">
        <v>1</v>
      </c>
      <c r="E118" s="1" t="s">
        <v>42</v>
      </c>
      <c r="F118" s="1" t="s">
        <v>64</v>
      </c>
      <c r="H118" s="1"/>
      <c r="I118" s="1" t="s">
        <v>42</v>
      </c>
      <c r="J118" s="1"/>
      <c r="K118" s="1"/>
      <c r="L118" s="1"/>
      <c r="M118" s="1"/>
    </row>
    <row r="119" spans="1:14" x14ac:dyDescent="0.25">
      <c r="A119" s="19" t="s">
        <v>60</v>
      </c>
      <c r="B119" s="3" t="s">
        <v>30</v>
      </c>
      <c r="C119" s="1">
        <v>0</v>
      </c>
      <c r="D119" s="1">
        <v>0</v>
      </c>
      <c r="E119" s="1"/>
      <c r="F119" s="1"/>
      <c r="G119" s="1"/>
      <c r="H119" s="1"/>
      <c r="I119" s="1" t="s">
        <v>30</v>
      </c>
      <c r="J119" s="1"/>
      <c r="K119" s="1"/>
      <c r="L119" s="1"/>
      <c r="M119" s="1"/>
    </row>
    <row r="120" spans="1:14" x14ac:dyDescent="0.25">
      <c r="A120" s="1"/>
      <c r="B120" s="1" t="s">
        <v>121</v>
      </c>
      <c r="C120" s="1">
        <v>13</v>
      </c>
      <c r="D120" s="1">
        <v>1</v>
      </c>
      <c r="E120" s="1" t="s">
        <v>65</v>
      </c>
      <c r="F120" s="1" t="s">
        <v>64</v>
      </c>
      <c r="G120" s="1"/>
      <c r="H120" s="1"/>
      <c r="I120" s="1"/>
      <c r="J120" s="1"/>
      <c r="K120" s="1"/>
      <c r="L120" s="1"/>
      <c r="M120" s="1"/>
    </row>
    <row r="121" spans="1:14" x14ac:dyDescent="0.25">
      <c r="A121" s="1"/>
      <c r="B121" s="1" t="s">
        <v>122</v>
      </c>
      <c r="C121" s="1">
        <v>26</v>
      </c>
      <c r="D121" s="1">
        <v>2</v>
      </c>
      <c r="E121" s="1" t="s">
        <v>66</v>
      </c>
      <c r="F121" s="1" t="s">
        <v>64</v>
      </c>
      <c r="G121" s="1"/>
      <c r="H121" s="1"/>
      <c r="I121" s="1"/>
      <c r="J121" s="1"/>
      <c r="K121" s="1"/>
      <c r="L121" s="1"/>
      <c r="M121" s="1"/>
    </row>
    <row r="122" spans="1:14" x14ac:dyDescent="0.25">
      <c r="A122" s="19" t="s">
        <v>54</v>
      </c>
      <c r="B122" s="1" t="s">
        <v>30</v>
      </c>
      <c r="C122" s="1">
        <v>0</v>
      </c>
      <c r="D122" s="1">
        <v>0</v>
      </c>
      <c r="E122" s="1"/>
      <c r="F122" s="1"/>
      <c r="G122" s="1"/>
      <c r="H122" s="1"/>
      <c r="I122" s="1" t="s">
        <v>30</v>
      </c>
      <c r="J122" s="1"/>
      <c r="K122" s="1"/>
      <c r="L122" s="1"/>
      <c r="M122" s="1"/>
    </row>
    <row r="123" spans="1:14" x14ac:dyDescent="0.25">
      <c r="A123" s="1"/>
      <c r="B123" s="1" t="s">
        <v>114</v>
      </c>
      <c r="C123" s="1">
        <v>100</v>
      </c>
      <c r="D123" s="1">
        <v>1</v>
      </c>
      <c r="E123" s="1" t="s">
        <v>110</v>
      </c>
      <c r="F123" s="1" t="s">
        <v>63</v>
      </c>
      <c r="G123" s="1"/>
      <c r="H123" s="1"/>
      <c r="I123" s="1" t="s">
        <v>110</v>
      </c>
      <c r="J123" s="1"/>
      <c r="K123" s="1"/>
      <c r="L123" s="1"/>
      <c r="M123" s="1"/>
      <c r="N123" s="1"/>
    </row>
    <row r="124" spans="1:14" x14ac:dyDescent="0.25">
      <c r="B124" s="1" t="s">
        <v>115</v>
      </c>
      <c r="C124" s="1">
        <v>115</v>
      </c>
      <c r="D124" s="1">
        <v>1</v>
      </c>
      <c r="E124" s="1" t="s">
        <v>110</v>
      </c>
      <c r="F124" s="1" t="s">
        <v>64</v>
      </c>
      <c r="G124" s="1"/>
      <c r="H124" s="1"/>
      <c r="I124" s="1" t="s">
        <v>111</v>
      </c>
      <c r="J124" s="1"/>
      <c r="K124" s="1"/>
      <c r="L124" s="1"/>
      <c r="M124" s="1"/>
      <c r="N124" s="1"/>
    </row>
    <row r="125" spans="1:14" x14ac:dyDescent="0.25">
      <c r="A125" s="1"/>
      <c r="B125" s="1" t="s">
        <v>116</v>
      </c>
      <c r="C125" s="1">
        <v>75</v>
      </c>
      <c r="D125" s="1">
        <v>1</v>
      </c>
      <c r="E125" s="1" t="s">
        <v>111</v>
      </c>
      <c r="F125" s="1" t="s">
        <v>63</v>
      </c>
      <c r="G125" s="1"/>
      <c r="H125" s="1"/>
      <c r="J125" s="1"/>
      <c r="K125" s="1"/>
      <c r="L125" s="1"/>
      <c r="M125" s="1"/>
      <c r="N125" s="1"/>
    </row>
    <row r="126" spans="1:14" x14ac:dyDescent="0.25">
      <c r="A126" s="1"/>
      <c r="B126" s="1" t="s">
        <v>117</v>
      </c>
      <c r="C126" s="1">
        <v>90</v>
      </c>
      <c r="D126" s="3">
        <v>1</v>
      </c>
      <c r="E126" s="1" t="s">
        <v>111</v>
      </c>
      <c r="F126" s="1" t="s">
        <v>64</v>
      </c>
      <c r="G126" s="3"/>
      <c r="H126" s="1"/>
      <c r="I126" s="1"/>
      <c r="J126" s="1"/>
      <c r="K126" s="1"/>
      <c r="L126" s="1"/>
      <c r="M126" s="1"/>
      <c r="N126" s="3"/>
    </row>
    <row r="127" spans="1:14" x14ac:dyDescent="0.25">
      <c r="A127" s="19" t="s">
        <v>223</v>
      </c>
      <c r="B127" s="1" t="s">
        <v>30</v>
      </c>
      <c r="C127" s="1">
        <v>0</v>
      </c>
      <c r="D127" s="1">
        <v>0</v>
      </c>
      <c r="E127" s="1"/>
      <c r="F127" s="1"/>
      <c r="G127" s="1"/>
      <c r="H127" s="1"/>
      <c r="I127" s="1" t="s">
        <v>30</v>
      </c>
      <c r="J127" s="1"/>
      <c r="K127" s="1"/>
      <c r="L127" s="1"/>
      <c r="M127" s="3"/>
    </row>
    <row r="128" spans="1:14" x14ac:dyDescent="0.25">
      <c r="A128" s="1"/>
      <c r="B128" s="1" t="s">
        <v>292</v>
      </c>
      <c r="C128" s="1">
        <v>35</v>
      </c>
      <c r="D128" s="1">
        <v>3</v>
      </c>
      <c r="E128" s="1" t="s">
        <v>295</v>
      </c>
      <c r="F128" s="1" t="s">
        <v>62</v>
      </c>
      <c r="G128" s="1"/>
      <c r="H128" s="1"/>
      <c r="I128" s="1" t="s">
        <v>295</v>
      </c>
      <c r="J128" s="1"/>
      <c r="K128" s="1"/>
      <c r="L128" s="1"/>
      <c r="M128" s="1"/>
    </row>
    <row r="129" spans="1:13" x14ac:dyDescent="0.25">
      <c r="A129" s="1"/>
      <c r="B129" s="1" t="s">
        <v>293</v>
      </c>
      <c r="C129" s="1">
        <v>50</v>
      </c>
      <c r="D129" s="1">
        <v>3</v>
      </c>
      <c r="E129" s="1" t="s">
        <v>295</v>
      </c>
      <c r="F129" s="1" t="s">
        <v>63</v>
      </c>
      <c r="G129" s="1"/>
      <c r="H129" s="1"/>
      <c r="I129" s="1"/>
      <c r="J129" s="1"/>
      <c r="K129" s="1"/>
      <c r="L129" s="1"/>
      <c r="M129" s="1"/>
    </row>
    <row r="130" spans="1:13" x14ac:dyDescent="0.25">
      <c r="A130" s="1"/>
      <c r="B130" s="1" t="s">
        <v>294</v>
      </c>
      <c r="C130" s="1">
        <v>65</v>
      </c>
      <c r="D130" s="1">
        <v>3</v>
      </c>
      <c r="E130" s="1" t="s">
        <v>295</v>
      </c>
      <c r="F130" s="1" t="s">
        <v>64</v>
      </c>
      <c r="G130" s="1"/>
      <c r="H130" s="1"/>
      <c r="I130" s="1"/>
      <c r="J130" s="1"/>
      <c r="K130" s="1"/>
      <c r="L130" s="1"/>
      <c r="M130" s="1"/>
    </row>
    <row r="131" spans="1:13" x14ac:dyDescent="0.25">
      <c r="A131" s="19" t="s">
        <v>222</v>
      </c>
      <c r="B131" s="1" t="s">
        <v>30</v>
      </c>
      <c r="C131" s="1">
        <v>0</v>
      </c>
      <c r="D131" s="1">
        <v>0</v>
      </c>
      <c r="E131" s="1"/>
      <c r="F131" s="1"/>
      <c r="G131" s="1"/>
      <c r="H131" s="1"/>
      <c r="I131" s="1" t="s">
        <v>30</v>
      </c>
      <c r="J131" s="1"/>
      <c r="K131" s="1"/>
      <c r="L131" s="1"/>
      <c r="M131" s="1"/>
    </row>
    <row r="132" spans="1:13" x14ac:dyDescent="0.25">
      <c r="A132" s="1"/>
      <c r="B132" s="1" t="s">
        <v>225</v>
      </c>
      <c r="C132" s="1">
        <v>49</v>
      </c>
      <c r="D132" s="1">
        <v>4</v>
      </c>
      <c r="E132" s="1" t="s">
        <v>291</v>
      </c>
      <c r="F132" s="1" t="s">
        <v>62</v>
      </c>
      <c r="G132" s="1"/>
      <c r="H132" s="1"/>
      <c r="I132" s="1" t="s">
        <v>291</v>
      </c>
      <c r="J132" s="1"/>
      <c r="K132" s="1"/>
      <c r="L132" s="1"/>
      <c r="M132" s="1"/>
    </row>
    <row r="133" spans="1:13" x14ac:dyDescent="0.25">
      <c r="A133" s="1"/>
      <c r="B133" s="1" t="s">
        <v>226</v>
      </c>
      <c r="C133" s="1">
        <v>70</v>
      </c>
      <c r="D133" s="1">
        <v>4</v>
      </c>
      <c r="E133" s="1" t="s">
        <v>291</v>
      </c>
      <c r="F133" s="1" t="s">
        <v>63</v>
      </c>
      <c r="G133" s="1"/>
      <c r="H133" s="1"/>
      <c r="I133" s="1"/>
      <c r="J133" s="1"/>
      <c r="K133" s="1"/>
      <c r="L133" s="1"/>
      <c r="M133" s="1"/>
    </row>
    <row r="134" spans="1:13" x14ac:dyDescent="0.25">
      <c r="A134" s="1"/>
      <c r="B134" s="1" t="s">
        <v>227</v>
      </c>
      <c r="C134" s="1">
        <v>91</v>
      </c>
      <c r="D134" s="1">
        <v>4</v>
      </c>
      <c r="E134" s="1" t="s">
        <v>291</v>
      </c>
      <c r="F134" s="1" t="s">
        <v>64</v>
      </c>
      <c r="G134" s="1"/>
      <c r="H134" s="1"/>
      <c r="I134" s="1"/>
      <c r="J134" s="1"/>
      <c r="K134" s="1"/>
      <c r="L134" s="1"/>
      <c r="M134" s="1"/>
    </row>
    <row r="135" spans="1:13" x14ac:dyDescent="0.25">
      <c r="A135" s="19" t="s">
        <v>55</v>
      </c>
      <c r="B135" s="1" t="s">
        <v>30</v>
      </c>
      <c r="C135" s="1">
        <v>0</v>
      </c>
      <c r="D135" s="1">
        <v>0</v>
      </c>
      <c r="E135" s="1"/>
      <c r="F135" s="1"/>
      <c r="G135" s="1"/>
      <c r="H135" s="1"/>
      <c r="I135" s="1" t="s">
        <v>30</v>
      </c>
      <c r="J135" s="1"/>
      <c r="K135" s="1"/>
      <c r="L135" s="1"/>
      <c r="M135" s="1"/>
    </row>
    <row r="136" spans="1:13" x14ac:dyDescent="0.25">
      <c r="A136" s="1"/>
      <c r="B136" s="1" t="s">
        <v>159</v>
      </c>
      <c r="C136" s="1">
        <v>24</v>
      </c>
      <c r="D136" s="1">
        <v>2</v>
      </c>
      <c r="E136" s="1" t="s">
        <v>112</v>
      </c>
      <c r="F136" s="1" t="s">
        <v>62</v>
      </c>
      <c r="G136" s="1"/>
      <c r="H136" s="1"/>
      <c r="I136" s="1" t="s">
        <v>112</v>
      </c>
      <c r="J136" s="1"/>
      <c r="K136" s="1"/>
      <c r="L136" s="1"/>
      <c r="M136" s="1"/>
    </row>
    <row r="137" spans="1:13" x14ac:dyDescent="0.25">
      <c r="A137" s="1"/>
      <c r="B137" s="1" t="s">
        <v>160</v>
      </c>
      <c r="C137" s="1">
        <v>35</v>
      </c>
      <c r="D137" s="1">
        <v>2</v>
      </c>
      <c r="E137" s="1" t="s">
        <v>112</v>
      </c>
      <c r="F137" s="1" t="s">
        <v>63</v>
      </c>
      <c r="G137" s="1"/>
      <c r="H137" s="1"/>
      <c r="I137" s="1" t="s">
        <v>113</v>
      </c>
      <c r="J137" s="1"/>
      <c r="K137" s="1"/>
      <c r="L137" s="1"/>
      <c r="M137" s="1"/>
    </row>
    <row r="138" spans="1:13" x14ac:dyDescent="0.25">
      <c r="A138" s="1"/>
      <c r="B138" s="1" t="s">
        <v>161</v>
      </c>
      <c r="C138" s="1">
        <v>46</v>
      </c>
      <c r="D138" s="1">
        <v>2</v>
      </c>
      <c r="E138" s="1" t="s">
        <v>112</v>
      </c>
      <c r="F138" s="1" t="s">
        <v>64</v>
      </c>
      <c r="G138" s="1"/>
      <c r="H138" s="1"/>
      <c r="I138" s="1" t="s">
        <v>278</v>
      </c>
      <c r="J138" s="1"/>
      <c r="K138" s="1"/>
      <c r="L138" s="1"/>
      <c r="M138" s="1"/>
    </row>
    <row r="139" spans="1:13" x14ac:dyDescent="0.25">
      <c r="A139" s="1"/>
      <c r="B139" s="1" t="s">
        <v>162</v>
      </c>
      <c r="C139" s="1">
        <v>35</v>
      </c>
      <c r="D139" s="1">
        <v>3</v>
      </c>
      <c r="E139" s="1" t="s">
        <v>113</v>
      </c>
      <c r="F139" s="1" t="s">
        <v>62</v>
      </c>
      <c r="G139" s="1"/>
      <c r="H139" s="1"/>
      <c r="I139" s="1"/>
      <c r="J139" s="1"/>
      <c r="K139" s="1"/>
      <c r="L139" s="1"/>
      <c r="M139" s="1"/>
    </row>
    <row r="140" spans="1:13" x14ac:dyDescent="0.25">
      <c r="A140" s="1"/>
      <c r="B140" s="1" t="s">
        <v>163</v>
      </c>
      <c r="C140" s="1">
        <v>50</v>
      </c>
      <c r="D140" s="1">
        <v>3</v>
      </c>
      <c r="E140" s="1" t="s">
        <v>113</v>
      </c>
      <c r="F140" s="1" t="s">
        <v>63</v>
      </c>
      <c r="G140" s="1"/>
      <c r="H140" s="1"/>
      <c r="I140" s="1"/>
      <c r="J140" s="1"/>
      <c r="K140" s="1"/>
      <c r="L140" s="1"/>
      <c r="M140" s="1"/>
    </row>
    <row r="141" spans="1:13" x14ac:dyDescent="0.25">
      <c r="A141" s="1"/>
      <c r="B141" s="1" t="s">
        <v>164</v>
      </c>
      <c r="C141" s="1">
        <v>65</v>
      </c>
      <c r="D141" s="1">
        <v>3</v>
      </c>
      <c r="E141" s="1" t="s">
        <v>113</v>
      </c>
      <c r="F141" s="1" t="s">
        <v>64</v>
      </c>
      <c r="G141" s="1"/>
      <c r="H141" s="1"/>
      <c r="I141" s="1"/>
      <c r="J141" s="1"/>
      <c r="K141" s="1"/>
      <c r="L141" s="1"/>
      <c r="M141" s="1"/>
    </row>
    <row r="142" spans="1:13" x14ac:dyDescent="0.25">
      <c r="A142" s="1"/>
      <c r="B142" s="1" t="s">
        <v>363</v>
      </c>
      <c r="C142" s="1">
        <v>46</v>
      </c>
      <c r="D142" s="1">
        <v>4</v>
      </c>
      <c r="E142" s="1" t="s">
        <v>278</v>
      </c>
      <c r="F142" s="1" t="s">
        <v>62</v>
      </c>
      <c r="G142" s="1"/>
      <c r="H142" s="1"/>
      <c r="I142" s="1"/>
      <c r="J142" s="1"/>
      <c r="K142" s="1"/>
      <c r="L142" s="1"/>
      <c r="M142" s="1"/>
    </row>
    <row r="143" spans="1:13" x14ac:dyDescent="0.25">
      <c r="A143" s="1"/>
      <c r="B143" s="1" t="s">
        <v>364</v>
      </c>
      <c r="C143" s="1">
        <v>65</v>
      </c>
      <c r="D143" s="1">
        <v>4</v>
      </c>
      <c r="E143" s="1" t="s">
        <v>278</v>
      </c>
      <c r="F143" s="1" t="s">
        <v>63</v>
      </c>
      <c r="G143" s="1"/>
      <c r="H143" s="1"/>
      <c r="I143" s="1"/>
      <c r="J143" s="1"/>
      <c r="K143" s="1"/>
      <c r="L143" s="1"/>
      <c r="M143" s="1"/>
    </row>
    <row r="144" spans="1:13" x14ac:dyDescent="0.25">
      <c r="A144" s="1"/>
      <c r="B144" s="1" t="s">
        <v>365</v>
      </c>
      <c r="C144" s="1">
        <v>84</v>
      </c>
      <c r="D144" s="1">
        <v>4</v>
      </c>
      <c r="E144" s="1" t="s">
        <v>278</v>
      </c>
      <c r="F144" s="1" t="s">
        <v>64</v>
      </c>
      <c r="G144" s="1"/>
      <c r="H144" s="1"/>
      <c r="I144" s="1"/>
      <c r="J144" s="1"/>
      <c r="K144" s="1"/>
      <c r="L144" s="1"/>
      <c r="M144" s="1"/>
    </row>
    <row r="145" spans="1:13" x14ac:dyDescent="0.25">
      <c r="A145" s="1"/>
      <c r="B145" s="1" t="s">
        <v>30</v>
      </c>
      <c r="C145" s="1">
        <v>0</v>
      </c>
      <c r="D145" s="1">
        <v>0</v>
      </c>
      <c r="E145" s="1"/>
      <c r="F145" s="1"/>
      <c r="G145" s="1"/>
      <c r="H145" s="1"/>
      <c r="I145" s="1" t="s">
        <v>30</v>
      </c>
      <c r="J145" s="1"/>
      <c r="K145" s="1"/>
      <c r="L145" s="1"/>
      <c r="M145" s="1"/>
    </row>
    <row r="146" spans="1:13" x14ac:dyDescent="0.25">
      <c r="A146" s="1"/>
      <c r="B146" s="1" t="s">
        <v>31</v>
      </c>
      <c r="C146" s="1">
        <v>10</v>
      </c>
      <c r="D146" s="1">
        <v>1</v>
      </c>
      <c r="E146" s="1" t="s">
        <v>31</v>
      </c>
      <c r="F146" s="1"/>
      <c r="G146" s="1"/>
      <c r="H146" s="1"/>
      <c r="I146" s="1" t="s">
        <v>31</v>
      </c>
      <c r="J146" s="1"/>
      <c r="K146" s="1"/>
      <c r="L146" s="1"/>
      <c r="M146" s="1"/>
    </row>
    <row r="147" spans="1:13" x14ac:dyDescent="0.25">
      <c r="A147" s="19" t="s">
        <v>57</v>
      </c>
      <c r="B147" s="1" t="s">
        <v>30</v>
      </c>
      <c r="C147" s="1">
        <v>0</v>
      </c>
      <c r="D147" s="1">
        <v>0</v>
      </c>
      <c r="E147" s="1"/>
      <c r="F147" s="1"/>
      <c r="G147" s="1"/>
      <c r="H147" s="1"/>
      <c r="I147" s="1" t="s">
        <v>30</v>
      </c>
      <c r="J147" s="1"/>
      <c r="K147" s="1"/>
      <c r="L147" s="1"/>
      <c r="M147" s="1"/>
    </row>
    <row r="148" spans="1:13" x14ac:dyDescent="0.25">
      <c r="A148" s="1"/>
      <c r="B148" s="1" t="s">
        <v>32</v>
      </c>
      <c r="C148" s="1">
        <v>50</v>
      </c>
      <c r="D148" s="1">
        <v>2</v>
      </c>
      <c r="E148" s="1" t="s">
        <v>57</v>
      </c>
      <c r="F148" s="1" t="s">
        <v>63</v>
      </c>
      <c r="G148" s="1"/>
      <c r="H148" s="1"/>
      <c r="I148" s="1" t="s">
        <v>57</v>
      </c>
      <c r="J148" s="1"/>
      <c r="K148" s="1"/>
      <c r="L148" s="1"/>
      <c r="M148" s="1"/>
    </row>
    <row r="149" spans="1:13" x14ac:dyDescent="0.25">
      <c r="A149" s="1"/>
      <c r="B149" s="1" t="s">
        <v>33</v>
      </c>
      <c r="C149" s="1">
        <v>65</v>
      </c>
      <c r="D149" s="1">
        <v>2</v>
      </c>
      <c r="E149" s="1" t="s">
        <v>57</v>
      </c>
      <c r="F149" s="1" t="s">
        <v>64</v>
      </c>
      <c r="G149" s="1"/>
      <c r="H149" s="1"/>
      <c r="I149" s="1"/>
      <c r="J149" s="1"/>
      <c r="K149" s="1"/>
      <c r="L149" s="1"/>
      <c r="M149" s="1"/>
    </row>
    <row r="150" spans="1:13" x14ac:dyDescent="0.25">
      <c r="A150" s="19" t="s">
        <v>56</v>
      </c>
      <c r="B150" s="1" t="s">
        <v>30</v>
      </c>
      <c r="C150" s="1">
        <v>0</v>
      </c>
      <c r="D150" s="1">
        <v>0</v>
      </c>
      <c r="E150" s="1"/>
      <c r="F150" s="1"/>
      <c r="G150" s="1"/>
      <c r="H150" s="1"/>
      <c r="I150" s="1" t="s">
        <v>30</v>
      </c>
      <c r="J150" s="1"/>
      <c r="K150" s="1"/>
      <c r="L150" s="1"/>
      <c r="M150" s="1"/>
    </row>
    <row r="151" spans="1:13" x14ac:dyDescent="0.25">
      <c r="A151" s="1"/>
      <c r="B151" s="1" t="s">
        <v>173</v>
      </c>
      <c r="C151" s="1">
        <v>50</v>
      </c>
      <c r="D151" s="1">
        <v>2</v>
      </c>
      <c r="E151" s="1" t="s">
        <v>56</v>
      </c>
      <c r="F151" s="1" t="s">
        <v>63</v>
      </c>
      <c r="G151" s="1"/>
      <c r="H151" s="1"/>
      <c r="I151" s="1" t="s">
        <v>56</v>
      </c>
      <c r="J151" s="1"/>
      <c r="K151" s="1"/>
      <c r="L151" s="1"/>
      <c r="M151" s="1"/>
    </row>
    <row r="152" spans="1:13" x14ac:dyDescent="0.25">
      <c r="A152" s="1"/>
      <c r="B152" s="1" t="s">
        <v>174</v>
      </c>
      <c r="C152" s="1">
        <v>65</v>
      </c>
      <c r="D152" s="1">
        <v>2</v>
      </c>
      <c r="E152" s="1" t="s">
        <v>56</v>
      </c>
      <c r="F152" s="1" t="s">
        <v>64</v>
      </c>
      <c r="G152" s="1"/>
      <c r="H152" s="1"/>
      <c r="I152" s="1"/>
      <c r="J152" s="1"/>
      <c r="K152" s="1"/>
      <c r="L152" s="1"/>
      <c r="M152" s="1"/>
    </row>
    <row r="153" spans="1:13" x14ac:dyDescent="0.25">
      <c r="A153" s="19" t="s">
        <v>58</v>
      </c>
      <c r="B153" s="1" t="s">
        <v>30</v>
      </c>
      <c r="C153" s="1">
        <v>0</v>
      </c>
      <c r="D153" s="1">
        <v>0</v>
      </c>
      <c r="E153" s="1"/>
      <c r="F153" s="1"/>
      <c r="G153" s="1"/>
      <c r="H153" s="1"/>
      <c r="I153" s="1" t="s">
        <v>30</v>
      </c>
      <c r="J153" s="1"/>
      <c r="K153" s="1"/>
      <c r="L153" s="1"/>
      <c r="M153" s="1"/>
    </row>
    <row r="154" spans="1:13" x14ac:dyDescent="0.25">
      <c r="A154" s="1"/>
      <c r="B154" s="1" t="s">
        <v>205</v>
      </c>
      <c r="C154" s="1">
        <v>42</v>
      </c>
      <c r="D154" s="1">
        <v>2</v>
      </c>
      <c r="E154" s="1" t="s">
        <v>208</v>
      </c>
      <c r="F154" s="1" t="s">
        <v>62</v>
      </c>
      <c r="G154" s="1"/>
      <c r="H154" s="1"/>
      <c r="I154" s="1" t="s">
        <v>208</v>
      </c>
      <c r="J154" s="1"/>
      <c r="K154" s="1"/>
      <c r="L154" s="1"/>
      <c r="M154" s="1"/>
    </row>
    <row r="155" spans="1:13" x14ac:dyDescent="0.25">
      <c r="A155" s="1"/>
      <c r="B155" s="1" t="s">
        <v>206</v>
      </c>
      <c r="C155" s="1">
        <v>60</v>
      </c>
      <c r="D155" s="1">
        <v>2</v>
      </c>
      <c r="E155" s="1" t="s">
        <v>208</v>
      </c>
      <c r="F155" s="1" t="s">
        <v>63</v>
      </c>
      <c r="G155" s="1"/>
      <c r="H155" s="1"/>
      <c r="I155" s="1"/>
      <c r="J155" s="1"/>
      <c r="K155" s="1"/>
      <c r="L155" s="1"/>
      <c r="M155" s="1"/>
    </row>
    <row r="156" spans="1:13" x14ac:dyDescent="0.25">
      <c r="A156" s="1"/>
      <c r="B156" s="1" t="s">
        <v>207</v>
      </c>
      <c r="C156" s="1">
        <v>78</v>
      </c>
      <c r="D156" s="1">
        <v>2</v>
      </c>
      <c r="E156" s="1" t="s">
        <v>208</v>
      </c>
      <c r="F156" s="1" t="s">
        <v>64</v>
      </c>
      <c r="G156" s="1"/>
      <c r="H156" s="1"/>
      <c r="I156" s="1"/>
      <c r="J156" s="1"/>
      <c r="K156" s="1"/>
      <c r="L156" s="1"/>
      <c r="M156" s="1"/>
    </row>
    <row r="157" spans="1:13" x14ac:dyDescent="0.25">
      <c r="A157" s="19" t="s">
        <v>47</v>
      </c>
      <c r="B157" s="1" t="s">
        <v>30</v>
      </c>
      <c r="C157" s="1">
        <v>0</v>
      </c>
      <c r="D157" s="1">
        <v>0</v>
      </c>
      <c r="E157" s="1"/>
      <c r="F157" s="1"/>
      <c r="G157" s="1"/>
      <c r="H157" s="1"/>
      <c r="I157" s="1" t="s">
        <v>30</v>
      </c>
      <c r="J157" s="1"/>
      <c r="K157" s="1"/>
      <c r="L157" s="1"/>
      <c r="M157" s="1"/>
    </row>
    <row r="158" spans="1:13" x14ac:dyDescent="0.25">
      <c r="A158" s="1"/>
      <c r="B158" s="1" t="s">
        <v>231</v>
      </c>
      <c r="C158" s="1">
        <v>40</v>
      </c>
      <c r="D158" s="1">
        <v>2</v>
      </c>
      <c r="E158" s="1" t="s">
        <v>228</v>
      </c>
      <c r="F158" s="1" t="s">
        <v>62</v>
      </c>
      <c r="G158" s="1"/>
      <c r="H158" s="1"/>
      <c r="I158" s="1" t="s">
        <v>228</v>
      </c>
      <c r="J158" s="1"/>
      <c r="K158" s="1"/>
      <c r="L158" s="1"/>
      <c r="M158" s="1"/>
    </row>
    <row r="159" spans="1:13" x14ac:dyDescent="0.25">
      <c r="A159" s="1"/>
      <c r="B159" s="1" t="s">
        <v>232</v>
      </c>
      <c r="C159" s="1">
        <v>50</v>
      </c>
      <c r="D159" s="1">
        <v>2</v>
      </c>
      <c r="E159" s="1" t="s">
        <v>228</v>
      </c>
      <c r="F159" s="1" t="s">
        <v>63</v>
      </c>
      <c r="G159" s="1"/>
      <c r="H159" s="1"/>
      <c r="I159" s="1" t="s">
        <v>229</v>
      </c>
      <c r="J159" s="1"/>
      <c r="K159" s="1"/>
      <c r="L159" s="1"/>
      <c r="M159" s="1"/>
    </row>
    <row r="160" spans="1:13" x14ac:dyDescent="0.25">
      <c r="A160" s="1"/>
      <c r="B160" s="1" t="s">
        <v>233</v>
      </c>
      <c r="C160" s="1">
        <v>60</v>
      </c>
      <c r="D160" s="1">
        <v>2</v>
      </c>
      <c r="E160" s="1" t="s">
        <v>228</v>
      </c>
      <c r="F160" s="1" t="s">
        <v>64</v>
      </c>
      <c r="G160" s="1"/>
      <c r="H160" s="1"/>
      <c r="I160" s="1" t="s">
        <v>230</v>
      </c>
      <c r="J160" s="1"/>
      <c r="K160" s="1"/>
      <c r="L160" s="1"/>
      <c r="M160" s="1"/>
    </row>
    <row r="161" spans="1:13" x14ac:dyDescent="0.25">
      <c r="A161" s="1"/>
      <c r="B161" s="1" t="s">
        <v>234</v>
      </c>
      <c r="C161" s="1">
        <v>60</v>
      </c>
      <c r="D161" s="1">
        <v>3</v>
      </c>
      <c r="E161" s="1" t="s">
        <v>229</v>
      </c>
      <c r="F161" s="1" t="s">
        <v>62</v>
      </c>
      <c r="G161" s="1"/>
      <c r="H161" s="1"/>
      <c r="I161" s="1" t="s">
        <v>118</v>
      </c>
      <c r="J161" s="1"/>
      <c r="K161" s="1"/>
      <c r="L161" s="1"/>
      <c r="M161" s="1"/>
    </row>
    <row r="162" spans="1:13" x14ac:dyDescent="0.25">
      <c r="A162" s="1"/>
      <c r="B162" s="1" t="s">
        <v>235</v>
      </c>
      <c r="C162" s="1">
        <v>75</v>
      </c>
      <c r="D162" s="1">
        <v>3</v>
      </c>
      <c r="E162" s="1" t="s">
        <v>229</v>
      </c>
      <c r="F162" s="1" t="s">
        <v>63</v>
      </c>
      <c r="G162" s="1"/>
      <c r="H162" s="1"/>
      <c r="I162" s="1" t="s">
        <v>119</v>
      </c>
      <c r="J162" s="1"/>
      <c r="K162" s="1"/>
      <c r="L162" s="1"/>
      <c r="M162" s="1"/>
    </row>
    <row r="163" spans="1:13" x14ac:dyDescent="0.25">
      <c r="A163" s="1"/>
      <c r="B163" s="1" t="s">
        <v>236</v>
      </c>
      <c r="C163" s="1">
        <v>90</v>
      </c>
      <c r="D163" s="1">
        <v>3</v>
      </c>
      <c r="E163" s="1" t="s">
        <v>229</v>
      </c>
      <c r="F163" s="1" t="s">
        <v>64</v>
      </c>
      <c r="G163" s="1"/>
      <c r="H163" s="1"/>
      <c r="I163" s="1" t="s">
        <v>120</v>
      </c>
      <c r="J163" s="1"/>
      <c r="K163" s="1"/>
      <c r="L163" s="1"/>
      <c r="M163" s="1"/>
    </row>
    <row r="164" spans="1:13" x14ac:dyDescent="0.25">
      <c r="A164" s="1"/>
      <c r="B164" s="1" t="s">
        <v>237</v>
      </c>
      <c r="C164" s="1">
        <v>88</v>
      </c>
      <c r="D164" s="1">
        <v>5</v>
      </c>
      <c r="E164" s="1" t="s">
        <v>230</v>
      </c>
      <c r="F164" s="1" t="s">
        <v>62</v>
      </c>
      <c r="G164" s="1"/>
      <c r="H164" s="1"/>
      <c r="J164" s="1"/>
      <c r="K164" s="1"/>
      <c r="L164" s="1"/>
      <c r="M164" s="1"/>
    </row>
    <row r="165" spans="1:13" x14ac:dyDescent="0.25">
      <c r="A165" s="1"/>
      <c r="B165" s="1" t="s">
        <v>238</v>
      </c>
      <c r="C165" s="1">
        <v>110</v>
      </c>
      <c r="D165" s="1">
        <v>5</v>
      </c>
      <c r="E165" s="1" t="s">
        <v>230</v>
      </c>
      <c r="F165" s="1" t="s">
        <v>63</v>
      </c>
      <c r="G165" s="1"/>
      <c r="H165" s="1"/>
      <c r="I165" s="1"/>
      <c r="J165" s="1"/>
      <c r="K165" s="1"/>
      <c r="L165" s="1"/>
      <c r="M165" s="1"/>
    </row>
    <row r="166" spans="1:13" x14ac:dyDescent="0.25">
      <c r="A166" s="1"/>
      <c r="B166" s="1" t="s">
        <v>239</v>
      </c>
      <c r="C166" s="1">
        <v>132</v>
      </c>
      <c r="D166" s="1">
        <v>5</v>
      </c>
      <c r="E166" s="1" t="s">
        <v>230</v>
      </c>
      <c r="F166" s="1" t="s">
        <v>64</v>
      </c>
      <c r="G166" s="1"/>
      <c r="H166" s="1"/>
      <c r="I166" s="1"/>
      <c r="J166" s="1"/>
      <c r="K166" s="1"/>
      <c r="L166" s="1"/>
      <c r="M166" s="1"/>
    </row>
    <row r="167" spans="1:13" x14ac:dyDescent="0.25">
      <c r="A167" s="1"/>
      <c r="B167" s="1" t="s">
        <v>209</v>
      </c>
      <c r="C167" s="1">
        <v>40</v>
      </c>
      <c r="D167" s="1">
        <v>3</v>
      </c>
      <c r="E167" s="1" t="s">
        <v>118</v>
      </c>
      <c r="F167" s="1" t="s">
        <v>62</v>
      </c>
      <c r="G167" s="1"/>
      <c r="H167" s="1"/>
      <c r="J167" s="1"/>
      <c r="K167" s="1"/>
      <c r="L167" s="1"/>
      <c r="M167" s="1"/>
    </row>
    <row r="168" spans="1:13" x14ac:dyDescent="0.25">
      <c r="A168" s="1"/>
      <c r="B168" s="1" t="s">
        <v>165</v>
      </c>
      <c r="C168" s="1">
        <v>50</v>
      </c>
      <c r="D168" s="1">
        <v>3</v>
      </c>
      <c r="E168" s="1" t="s">
        <v>118</v>
      </c>
      <c r="F168" s="1" t="s">
        <v>63</v>
      </c>
      <c r="G168" s="1"/>
      <c r="H168" s="1"/>
      <c r="J168" s="1"/>
      <c r="K168" s="1"/>
      <c r="L168" s="1"/>
      <c r="M168" s="1"/>
    </row>
    <row r="169" spans="1:13" x14ac:dyDescent="0.25">
      <c r="A169" s="1"/>
      <c r="B169" s="1" t="s">
        <v>166</v>
      </c>
      <c r="C169" s="1">
        <v>60</v>
      </c>
      <c r="D169" s="1">
        <v>3</v>
      </c>
      <c r="E169" s="1" t="s">
        <v>118</v>
      </c>
      <c r="F169" s="1" t="s">
        <v>64</v>
      </c>
      <c r="G169" s="1"/>
      <c r="H169" s="1"/>
      <c r="I169" s="1"/>
      <c r="J169" s="1"/>
      <c r="K169" s="1"/>
      <c r="L169" s="1"/>
      <c r="M169" s="1"/>
    </row>
    <row r="170" spans="1:13" x14ac:dyDescent="0.25">
      <c r="A170" s="1"/>
      <c r="B170" s="1" t="s">
        <v>211</v>
      </c>
      <c r="C170" s="1">
        <v>60</v>
      </c>
      <c r="D170" s="1">
        <v>4</v>
      </c>
      <c r="E170" s="1" t="s">
        <v>119</v>
      </c>
      <c r="F170" s="1" t="s">
        <v>62</v>
      </c>
      <c r="G170" s="1"/>
      <c r="H170" s="1"/>
      <c r="I170" s="1"/>
      <c r="J170" s="1"/>
      <c r="K170" s="1"/>
      <c r="L170" s="1"/>
      <c r="M170" s="1"/>
    </row>
    <row r="171" spans="1:13" x14ac:dyDescent="0.25">
      <c r="A171" s="1"/>
      <c r="B171" s="1" t="s">
        <v>169</v>
      </c>
      <c r="C171" s="1">
        <v>75</v>
      </c>
      <c r="D171" s="1">
        <v>4</v>
      </c>
      <c r="E171" s="1" t="s">
        <v>119</v>
      </c>
      <c r="F171" s="1" t="s">
        <v>63</v>
      </c>
      <c r="G171" s="1"/>
      <c r="H171" s="1"/>
      <c r="I171" s="1"/>
      <c r="J171" s="1"/>
      <c r="K171" s="1"/>
      <c r="L171" s="1"/>
      <c r="M171" s="1"/>
    </row>
    <row r="172" spans="1:13" x14ac:dyDescent="0.25">
      <c r="A172" s="1"/>
      <c r="B172" s="1" t="s">
        <v>170</v>
      </c>
      <c r="C172" s="1">
        <v>90</v>
      </c>
      <c r="D172" s="1">
        <v>4</v>
      </c>
      <c r="E172" s="1" t="s">
        <v>119</v>
      </c>
      <c r="F172" s="1" t="s">
        <v>64</v>
      </c>
      <c r="G172" s="1"/>
      <c r="H172" s="1"/>
      <c r="I172" s="1"/>
      <c r="J172" s="1"/>
      <c r="K172" s="1"/>
      <c r="L172" s="1"/>
      <c r="M172" s="1"/>
    </row>
    <row r="173" spans="1:13" x14ac:dyDescent="0.25">
      <c r="A173" s="1"/>
      <c r="B173" s="1" t="s">
        <v>210</v>
      </c>
      <c r="C173" s="1">
        <v>92</v>
      </c>
      <c r="D173" s="1">
        <v>5</v>
      </c>
      <c r="E173" s="1" t="s">
        <v>120</v>
      </c>
      <c r="F173" s="1" t="s">
        <v>62</v>
      </c>
      <c r="G173" s="1"/>
      <c r="H173" s="1"/>
      <c r="I173" s="1"/>
      <c r="J173" s="1"/>
      <c r="K173" s="1"/>
      <c r="L173" s="1"/>
      <c r="M173" s="1"/>
    </row>
    <row r="174" spans="1:13" x14ac:dyDescent="0.25">
      <c r="A174" s="1"/>
      <c r="B174" s="1" t="s">
        <v>167</v>
      </c>
      <c r="C174" s="1">
        <v>115</v>
      </c>
      <c r="D174" s="1">
        <v>5</v>
      </c>
      <c r="E174" s="1" t="s">
        <v>120</v>
      </c>
      <c r="F174" s="1" t="s">
        <v>63</v>
      </c>
      <c r="G174" s="1"/>
      <c r="H174" s="1"/>
      <c r="I174" s="1"/>
      <c r="J174" s="1"/>
      <c r="K174" s="1"/>
      <c r="L174" s="1"/>
      <c r="M174" s="1"/>
    </row>
    <row r="175" spans="1:13" x14ac:dyDescent="0.25">
      <c r="A175" s="1"/>
      <c r="B175" s="1" t="s">
        <v>168</v>
      </c>
      <c r="C175" s="1">
        <v>138</v>
      </c>
      <c r="D175" s="1">
        <v>5</v>
      </c>
      <c r="E175" s="1" t="s">
        <v>120</v>
      </c>
      <c r="F175" s="1" t="s">
        <v>64</v>
      </c>
      <c r="G175" s="1"/>
      <c r="H175" s="1"/>
      <c r="I175" s="1"/>
      <c r="J175" s="1"/>
      <c r="K175" s="1"/>
      <c r="L175" s="1"/>
      <c r="M175" s="1"/>
    </row>
    <row r="176" spans="1:13" x14ac:dyDescent="0.25">
      <c r="A176" t="s">
        <v>59</v>
      </c>
      <c r="B176" s="1" t="s">
        <v>30</v>
      </c>
      <c r="C176" s="1">
        <v>0</v>
      </c>
      <c r="D176" s="1">
        <v>0</v>
      </c>
      <c r="E176" s="1"/>
      <c r="F176" s="1"/>
      <c r="G176" s="1"/>
      <c r="H176" s="1"/>
      <c r="I176" s="1" t="s">
        <v>30</v>
      </c>
      <c r="J176" s="1"/>
      <c r="K176" s="1"/>
      <c r="L176" s="1"/>
      <c r="M176" s="1"/>
    </row>
    <row r="177" spans="1:15" x14ac:dyDescent="0.25">
      <c r="B177" s="1" t="s">
        <v>274</v>
      </c>
      <c r="C177" s="1">
        <v>88</v>
      </c>
      <c r="D177" s="1">
        <v>1</v>
      </c>
      <c r="E177" s="1" t="s">
        <v>277</v>
      </c>
      <c r="F177" s="1" t="s">
        <v>62</v>
      </c>
      <c r="G177" s="1"/>
      <c r="H177" s="1"/>
      <c r="I177" s="1" t="s">
        <v>277</v>
      </c>
      <c r="J177" s="1"/>
      <c r="K177" s="1"/>
      <c r="L177" s="1"/>
      <c r="M177" s="1"/>
    </row>
    <row r="178" spans="1:15" x14ac:dyDescent="0.25">
      <c r="B178" s="1" t="s">
        <v>275</v>
      </c>
      <c r="C178" s="1">
        <v>110</v>
      </c>
      <c r="D178" s="1">
        <v>1</v>
      </c>
      <c r="E178" s="1" t="s">
        <v>277</v>
      </c>
      <c r="F178" s="1" t="s">
        <v>63</v>
      </c>
      <c r="G178" s="1"/>
      <c r="H178" s="1"/>
      <c r="I178" s="1" t="s">
        <v>350</v>
      </c>
      <c r="J178" s="1"/>
      <c r="K178" s="1"/>
      <c r="L178" s="1"/>
      <c r="M178" s="1"/>
    </row>
    <row r="179" spans="1:15" x14ac:dyDescent="0.25">
      <c r="B179" s="1" t="s">
        <v>276</v>
      </c>
      <c r="C179" s="1">
        <v>132</v>
      </c>
      <c r="D179" s="1">
        <v>1</v>
      </c>
      <c r="E179" s="1" t="s">
        <v>277</v>
      </c>
      <c r="F179" s="1" t="s">
        <v>64</v>
      </c>
      <c r="G179" s="1"/>
      <c r="H179" s="1"/>
      <c r="I179" s="1"/>
      <c r="J179" s="1"/>
      <c r="K179" s="1"/>
      <c r="L179" s="1"/>
      <c r="M179" s="1"/>
      <c r="N179" s="1"/>
      <c r="O179" s="1"/>
    </row>
    <row r="180" spans="1:15" x14ac:dyDescent="0.25">
      <c r="B180" s="1" t="s">
        <v>351</v>
      </c>
      <c r="C180" s="1">
        <f>C177+25</f>
        <v>113</v>
      </c>
      <c r="D180" s="1">
        <v>1</v>
      </c>
      <c r="E180" s="1" t="s">
        <v>350</v>
      </c>
      <c r="F180" s="1" t="s">
        <v>62</v>
      </c>
      <c r="G180" s="1"/>
      <c r="H180" s="1"/>
      <c r="I180" s="1"/>
      <c r="J180" s="1"/>
      <c r="K180" s="1"/>
      <c r="L180" s="1"/>
      <c r="M180" s="1"/>
      <c r="N180" s="1"/>
      <c r="O180" s="1"/>
    </row>
    <row r="181" spans="1:15" x14ac:dyDescent="0.25">
      <c r="B181" s="1" t="s">
        <v>352</v>
      </c>
      <c r="C181" s="1">
        <f>C178+25</f>
        <v>135</v>
      </c>
      <c r="D181" s="1">
        <v>1</v>
      </c>
      <c r="E181" s="1" t="s">
        <v>350</v>
      </c>
      <c r="F181" s="1" t="s">
        <v>63</v>
      </c>
      <c r="G181" s="1"/>
      <c r="H181" s="1"/>
      <c r="I181" s="1"/>
      <c r="J181" s="1"/>
      <c r="K181" s="1"/>
      <c r="L181" s="1"/>
      <c r="M181" s="1"/>
      <c r="N181" s="1"/>
      <c r="O181" s="1"/>
    </row>
    <row r="182" spans="1:15" x14ac:dyDescent="0.25">
      <c r="B182" s="1" t="s">
        <v>353</v>
      </c>
      <c r="C182" s="1">
        <f>C179+25</f>
        <v>157</v>
      </c>
      <c r="D182" s="1">
        <v>1</v>
      </c>
      <c r="E182" s="1" t="s">
        <v>350</v>
      </c>
      <c r="F182" s="1" t="s">
        <v>64</v>
      </c>
      <c r="G182" s="1"/>
      <c r="H182" s="1"/>
      <c r="I182" s="1"/>
      <c r="J182" s="1"/>
      <c r="K182" s="1"/>
      <c r="L182" s="1"/>
      <c r="M182" s="1"/>
      <c r="N182" s="1"/>
      <c r="O182" s="1"/>
    </row>
    <row r="183" spans="1:15" x14ac:dyDescent="0.25">
      <c r="A183" t="s">
        <v>49</v>
      </c>
      <c r="B183" s="1" t="s">
        <v>30</v>
      </c>
      <c r="C183" s="1">
        <v>0</v>
      </c>
      <c r="D183" s="1">
        <v>0</v>
      </c>
      <c r="E183" s="1"/>
      <c r="F183" s="1"/>
      <c r="G183" s="1"/>
      <c r="H183" s="1"/>
      <c r="I183" s="1" t="s">
        <v>30</v>
      </c>
      <c r="J183" s="1"/>
      <c r="K183" s="1"/>
      <c r="L183" s="1"/>
      <c r="M183" s="1"/>
      <c r="N183" s="1"/>
      <c r="O183" s="1"/>
    </row>
    <row r="184" spans="1:15" x14ac:dyDescent="0.25">
      <c r="B184" s="1" t="s">
        <v>140</v>
      </c>
      <c r="C184" s="1">
        <v>108</v>
      </c>
      <c r="D184" s="1">
        <v>1</v>
      </c>
      <c r="E184" s="1" t="s">
        <v>146</v>
      </c>
      <c r="F184" s="1" t="s">
        <v>62</v>
      </c>
      <c r="G184" s="1">
        <v>2</v>
      </c>
      <c r="H184" s="1">
        <v>1</v>
      </c>
      <c r="I184" s="1" t="s">
        <v>146</v>
      </c>
      <c r="J184" s="1"/>
      <c r="K184" s="1"/>
      <c r="L184" s="1"/>
      <c r="M184" s="1"/>
      <c r="N184" s="1"/>
      <c r="O184" s="1"/>
    </row>
    <row r="185" spans="1:15" x14ac:dyDescent="0.25">
      <c r="B185" s="1" t="s">
        <v>141</v>
      </c>
      <c r="C185" s="1">
        <v>135</v>
      </c>
      <c r="D185" s="1">
        <v>1</v>
      </c>
      <c r="E185" s="1" t="s">
        <v>146</v>
      </c>
      <c r="F185" s="1" t="s">
        <v>63</v>
      </c>
      <c r="G185" s="1">
        <v>2</v>
      </c>
      <c r="H185" s="1">
        <v>1</v>
      </c>
      <c r="I185" s="1" t="s">
        <v>243</v>
      </c>
      <c r="J185" s="1"/>
      <c r="K185" s="1"/>
      <c r="L185" s="1"/>
      <c r="M185" s="1"/>
      <c r="N185" s="1"/>
      <c r="O185" s="1"/>
    </row>
    <row r="186" spans="1:15" x14ac:dyDescent="0.25">
      <c r="B186" s="1" t="s">
        <v>142</v>
      </c>
      <c r="C186" s="1">
        <v>162</v>
      </c>
      <c r="D186" s="1">
        <v>1</v>
      </c>
      <c r="E186" s="1" t="s">
        <v>146</v>
      </c>
      <c r="F186" s="1" t="s">
        <v>64</v>
      </c>
      <c r="G186" s="1">
        <v>2</v>
      </c>
      <c r="H186" s="1">
        <v>1</v>
      </c>
      <c r="I186" s="1" t="s">
        <v>347</v>
      </c>
      <c r="J186" s="1"/>
      <c r="K186" s="1"/>
      <c r="L186" s="1"/>
      <c r="M186" s="1"/>
      <c r="N186" s="1"/>
      <c r="O186" s="1"/>
    </row>
    <row r="187" spans="1:15" x14ac:dyDescent="0.25">
      <c r="B187" s="1" t="s">
        <v>240</v>
      </c>
      <c r="C187" s="1">
        <v>124</v>
      </c>
      <c r="D187" s="1">
        <v>1</v>
      </c>
      <c r="E187" s="1" t="s">
        <v>243</v>
      </c>
      <c r="F187" s="1" t="s">
        <v>62</v>
      </c>
      <c r="G187" s="1">
        <v>2</v>
      </c>
      <c r="H187" s="1">
        <v>1</v>
      </c>
      <c r="I187" s="1" t="s">
        <v>348</v>
      </c>
      <c r="K187" s="1"/>
      <c r="L187" s="1"/>
      <c r="M187" s="1"/>
      <c r="N187" s="1"/>
      <c r="O187" s="1"/>
    </row>
    <row r="188" spans="1:15" x14ac:dyDescent="0.25">
      <c r="A188" s="1"/>
      <c r="B188" s="1" t="s">
        <v>241</v>
      </c>
      <c r="C188" s="1">
        <v>155</v>
      </c>
      <c r="D188" s="1">
        <v>1</v>
      </c>
      <c r="E188" s="1" t="s">
        <v>243</v>
      </c>
      <c r="F188" s="1" t="s">
        <v>63</v>
      </c>
      <c r="G188" s="1">
        <v>2</v>
      </c>
      <c r="H188" s="1">
        <v>1</v>
      </c>
      <c r="I188" s="1" t="s">
        <v>349</v>
      </c>
      <c r="J188" s="1"/>
      <c r="K188" s="1"/>
      <c r="L188" s="1"/>
      <c r="M188" s="1"/>
      <c r="N188" s="1"/>
      <c r="O188" s="1"/>
    </row>
    <row r="189" spans="1:15" x14ac:dyDescent="0.25">
      <c r="A189" s="1"/>
      <c r="B189" s="1" t="s">
        <v>242</v>
      </c>
      <c r="C189" s="1">
        <v>186</v>
      </c>
      <c r="D189" s="1">
        <v>1</v>
      </c>
      <c r="E189" s="1" t="s">
        <v>243</v>
      </c>
      <c r="F189" s="1" t="s">
        <v>64</v>
      </c>
      <c r="G189" s="1">
        <v>2</v>
      </c>
      <c r="H189" s="1">
        <v>1</v>
      </c>
      <c r="I189" s="1" t="s">
        <v>257</v>
      </c>
      <c r="J189" s="1"/>
      <c r="K189" s="1"/>
      <c r="L189" s="1"/>
      <c r="M189" s="1"/>
      <c r="N189" s="1"/>
      <c r="O189" s="1"/>
    </row>
    <row r="190" spans="1:15" x14ac:dyDescent="0.25">
      <c r="A190" s="1"/>
      <c r="B190" s="1" t="s">
        <v>263</v>
      </c>
      <c r="C190" s="1">
        <v>156</v>
      </c>
      <c r="D190" s="1">
        <v>1</v>
      </c>
      <c r="E190" s="1" t="s">
        <v>260</v>
      </c>
      <c r="F190" s="1" t="s">
        <v>62</v>
      </c>
      <c r="G190" s="1">
        <v>2</v>
      </c>
      <c r="H190" s="1">
        <v>1</v>
      </c>
      <c r="I190" s="1" t="s">
        <v>256</v>
      </c>
      <c r="J190" s="1"/>
      <c r="K190" s="1"/>
      <c r="L190" s="1"/>
      <c r="M190" s="1"/>
      <c r="N190" s="1"/>
      <c r="O190" s="1"/>
    </row>
    <row r="191" spans="1:15" x14ac:dyDescent="0.25">
      <c r="A191" s="1"/>
      <c r="B191" s="1" t="s">
        <v>264</v>
      </c>
      <c r="C191" s="1">
        <v>195</v>
      </c>
      <c r="D191" s="1">
        <v>1</v>
      </c>
      <c r="E191" s="1" t="s">
        <v>260</v>
      </c>
      <c r="F191" s="1" t="s">
        <v>63</v>
      </c>
      <c r="G191" s="1">
        <v>2</v>
      </c>
      <c r="H191" s="1">
        <v>1</v>
      </c>
      <c r="I191" s="1" t="s">
        <v>244</v>
      </c>
      <c r="J191" s="1"/>
      <c r="K191" s="1"/>
      <c r="L191" s="1"/>
      <c r="M191" s="1"/>
      <c r="N191" s="1"/>
      <c r="O191" s="1"/>
    </row>
    <row r="192" spans="1:15" x14ac:dyDescent="0.25">
      <c r="A192" s="1"/>
      <c r="B192" s="1" t="s">
        <v>265</v>
      </c>
      <c r="C192" s="1">
        <v>234</v>
      </c>
      <c r="D192" s="1">
        <v>1</v>
      </c>
      <c r="E192" s="1" t="s">
        <v>260</v>
      </c>
      <c r="F192" s="1" t="s">
        <v>64</v>
      </c>
      <c r="G192" s="1">
        <v>2</v>
      </c>
      <c r="H192" s="1">
        <v>1</v>
      </c>
      <c r="I192" s="1" t="s">
        <v>181</v>
      </c>
      <c r="J192" s="1"/>
      <c r="K192" s="1"/>
      <c r="L192" s="1"/>
      <c r="M192" s="1"/>
      <c r="N192" s="1"/>
      <c r="O192" s="1"/>
    </row>
    <row r="193" spans="1:15" x14ac:dyDescent="0.25">
      <c r="A193" s="1"/>
      <c r="B193" s="1" t="s">
        <v>266</v>
      </c>
      <c r="C193" s="1">
        <v>156</v>
      </c>
      <c r="D193" s="1">
        <v>1</v>
      </c>
      <c r="E193" s="1" t="s">
        <v>259</v>
      </c>
      <c r="F193" s="1" t="s">
        <v>62</v>
      </c>
      <c r="G193" s="1">
        <v>2</v>
      </c>
      <c r="H193" s="1">
        <v>1</v>
      </c>
      <c r="I193" s="1" t="s">
        <v>189</v>
      </c>
      <c r="J193" s="1"/>
      <c r="K193" s="1"/>
      <c r="L193" s="1"/>
      <c r="M193" s="1"/>
      <c r="N193" s="1"/>
      <c r="O193" s="1"/>
    </row>
    <row r="194" spans="1:15" x14ac:dyDescent="0.25">
      <c r="A194" s="1"/>
      <c r="B194" s="1" t="s">
        <v>267</v>
      </c>
      <c r="C194" s="1">
        <v>195</v>
      </c>
      <c r="D194" s="1">
        <v>1</v>
      </c>
      <c r="E194" s="1" t="s">
        <v>259</v>
      </c>
      <c r="F194" s="1" t="s">
        <v>63</v>
      </c>
      <c r="G194" s="1">
        <v>2</v>
      </c>
      <c r="H194" s="1">
        <v>1</v>
      </c>
      <c r="I194" s="1" t="s">
        <v>188</v>
      </c>
      <c r="J194" s="1"/>
      <c r="K194" s="1"/>
      <c r="L194" s="1"/>
      <c r="M194" s="1"/>
      <c r="N194" s="1"/>
      <c r="O194" s="1"/>
    </row>
    <row r="195" spans="1:15" x14ac:dyDescent="0.25">
      <c r="A195" s="1"/>
      <c r="B195" s="1" t="s">
        <v>268</v>
      </c>
      <c r="C195" s="1">
        <v>234</v>
      </c>
      <c r="D195" s="1">
        <v>1</v>
      </c>
      <c r="E195" s="1" t="s">
        <v>259</v>
      </c>
      <c r="F195" s="1" t="s">
        <v>64</v>
      </c>
      <c r="G195" s="1">
        <v>2</v>
      </c>
      <c r="H195" s="1">
        <v>1</v>
      </c>
      <c r="I195" s="1" t="s">
        <v>147</v>
      </c>
      <c r="J195" s="1"/>
      <c r="K195" s="1"/>
      <c r="L195" s="1"/>
      <c r="M195" s="1"/>
      <c r="N195" s="1"/>
      <c r="O195" s="1"/>
    </row>
    <row r="196" spans="1:15" x14ac:dyDescent="0.25">
      <c r="A196" s="1"/>
      <c r="B196" s="1" t="s">
        <v>269</v>
      </c>
      <c r="C196" s="1">
        <v>188</v>
      </c>
      <c r="D196" s="1">
        <v>1</v>
      </c>
      <c r="E196" s="1" t="s">
        <v>258</v>
      </c>
      <c r="F196" s="1" t="s">
        <v>62</v>
      </c>
      <c r="G196" s="1">
        <v>2</v>
      </c>
      <c r="H196" s="1">
        <v>1</v>
      </c>
      <c r="I196" s="1" t="s">
        <v>248</v>
      </c>
      <c r="J196" s="1"/>
      <c r="K196" s="1"/>
      <c r="L196" s="1"/>
      <c r="M196" s="1"/>
      <c r="N196" s="1"/>
      <c r="O196" s="1"/>
    </row>
    <row r="197" spans="1:15" x14ac:dyDescent="0.25">
      <c r="A197" s="1"/>
      <c r="B197" s="1" t="s">
        <v>270</v>
      </c>
      <c r="C197" s="1">
        <v>235</v>
      </c>
      <c r="D197" s="1">
        <v>1</v>
      </c>
      <c r="E197" s="1" t="s">
        <v>258</v>
      </c>
      <c r="F197" s="1" t="s">
        <v>63</v>
      </c>
      <c r="G197" s="1">
        <v>2</v>
      </c>
      <c r="H197" s="1">
        <v>1</v>
      </c>
      <c r="I197" s="1" t="s">
        <v>255</v>
      </c>
      <c r="J197" s="1"/>
      <c r="K197" s="1"/>
      <c r="L197" s="1"/>
      <c r="M197" s="1"/>
      <c r="N197" s="1"/>
      <c r="O197" s="1"/>
    </row>
    <row r="198" spans="1:15" x14ac:dyDescent="0.25">
      <c r="A198" s="1"/>
      <c r="B198" s="1" t="s">
        <v>271</v>
      </c>
      <c r="C198" s="1">
        <v>282</v>
      </c>
      <c r="D198" s="1">
        <v>1</v>
      </c>
      <c r="E198" s="1" t="s">
        <v>258</v>
      </c>
      <c r="F198" s="1" t="s">
        <v>64</v>
      </c>
      <c r="G198" s="1">
        <v>2</v>
      </c>
      <c r="H198" s="1">
        <v>1</v>
      </c>
      <c r="I198" s="1" t="s">
        <v>354</v>
      </c>
      <c r="J198" s="1"/>
      <c r="K198" s="1"/>
      <c r="L198" s="1"/>
      <c r="M198" s="1"/>
      <c r="N198" s="1"/>
      <c r="O198" s="1"/>
    </row>
    <row r="199" spans="1:15" x14ac:dyDescent="0.25">
      <c r="A199" s="1"/>
      <c r="B199" s="1" t="s">
        <v>261</v>
      </c>
      <c r="C199" s="1">
        <v>212</v>
      </c>
      <c r="D199" s="1">
        <v>1</v>
      </c>
      <c r="E199" s="1" t="s">
        <v>257</v>
      </c>
      <c r="F199" s="1" t="s">
        <v>62</v>
      </c>
      <c r="G199" s="1">
        <v>2</v>
      </c>
      <c r="H199" s="1">
        <v>1</v>
      </c>
      <c r="I199" s="1" t="s">
        <v>361</v>
      </c>
      <c r="J199" s="1"/>
      <c r="K199" s="1"/>
      <c r="L199" s="1"/>
      <c r="M199" s="1"/>
      <c r="N199" s="1"/>
      <c r="O199" s="1"/>
    </row>
    <row r="200" spans="1:15" x14ac:dyDescent="0.25">
      <c r="A200" s="1"/>
      <c r="B200" s="1" t="s">
        <v>303</v>
      </c>
      <c r="C200" s="1">
        <v>265</v>
      </c>
      <c r="D200" s="1">
        <v>1</v>
      </c>
      <c r="E200" s="1" t="s">
        <v>257</v>
      </c>
      <c r="F200" s="1" t="s">
        <v>63</v>
      </c>
      <c r="G200" s="1">
        <v>2</v>
      </c>
      <c r="H200" s="1">
        <v>1</v>
      </c>
      <c r="I200" s="1"/>
      <c r="J200" s="1"/>
      <c r="K200" s="1"/>
      <c r="L200" s="1"/>
      <c r="M200" s="1"/>
      <c r="N200" s="1"/>
      <c r="O200" s="1"/>
    </row>
    <row r="201" spans="1:15" x14ac:dyDescent="0.25">
      <c r="A201" s="1"/>
      <c r="B201" s="1" t="s">
        <v>262</v>
      </c>
      <c r="C201" s="1">
        <v>318</v>
      </c>
      <c r="D201" s="1">
        <v>1</v>
      </c>
      <c r="E201" s="1" t="s">
        <v>257</v>
      </c>
      <c r="F201" s="1" t="s">
        <v>64</v>
      </c>
      <c r="G201" s="1">
        <v>2</v>
      </c>
      <c r="H201" s="1">
        <v>1</v>
      </c>
      <c r="I201" s="1"/>
      <c r="J201" s="1"/>
      <c r="K201" s="1"/>
      <c r="L201" s="1"/>
      <c r="M201" s="1"/>
      <c r="N201" s="1"/>
      <c r="O201" s="1"/>
    </row>
    <row r="202" spans="1:15" x14ac:dyDescent="0.25">
      <c r="A202" s="1"/>
      <c r="B202" s="1" t="s">
        <v>272</v>
      </c>
      <c r="C202" s="1">
        <v>247</v>
      </c>
      <c r="D202" s="1">
        <v>1</v>
      </c>
      <c r="E202" s="1" t="s">
        <v>256</v>
      </c>
      <c r="F202" s="1" t="s">
        <v>62</v>
      </c>
      <c r="G202" s="1">
        <v>2</v>
      </c>
      <c r="H202" s="1">
        <v>1</v>
      </c>
      <c r="I202" s="1"/>
      <c r="J202" s="1"/>
      <c r="K202" s="1"/>
      <c r="L202" s="1"/>
      <c r="M202" s="1"/>
      <c r="N202" s="1"/>
      <c r="O202" s="1"/>
    </row>
    <row r="203" spans="1:15" x14ac:dyDescent="0.25">
      <c r="A203" s="1"/>
      <c r="B203" s="1" t="s">
        <v>304</v>
      </c>
      <c r="C203" s="1">
        <v>300</v>
      </c>
      <c r="D203" s="1">
        <v>1</v>
      </c>
      <c r="E203" s="1" t="s">
        <v>256</v>
      </c>
      <c r="F203" s="1" t="s">
        <v>63</v>
      </c>
      <c r="G203" s="1">
        <v>2</v>
      </c>
      <c r="H203" s="1">
        <v>1</v>
      </c>
      <c r="I203" s="1"/>
      <c r="J203" s="1"/>
      <c r="K203" s="1"/>
      <c r="L203" s="1"/>
      <c r="M203" s="1"/>
      <c r="N203" s="1"/>
      <c r="O203" s="1"/>
    </row>
    <row r="204" spans="1:15" x14ac:dyDescent="0.25">
      <c r="A204" s="1"/>
      <c r="B204" s="1" t="s">
        <v>273</v>
      </c>
      <c r="C204" s="1">
        <v>353</v>
      </c>
      <c r="D204" s="1">
        <v>1</v>
      </c>
      <c r="E204" s="1" t="s">
        <v>256</v>
      </c>
      <c r="F204" s="1" t="s">
        <v>64</v>
      </c>
      <c r="G204" s="1">
        <v>2</v>
      </c>
      <c r="H204" s="1">
        <v>1</v>
      </c>
      <c r="I204" s="1"/>
      <c r="J204" s="1"/>
      <c r="K204" s="1"/>
      <c r="L204" s="1"/>
      <c r="M204" s="1"/>
      <c r="N204" s="1"/>
      <c r="O204" s="1"/>
    </row>
    <row r="205" spans="1:15" x14ac:dyDescent="0.25">
      <c r="A205" s="1"/>
      <c r="B205" s="1" t="s">
        <v>245</v>
      </c>
      <c r="C205" s="1">
        <v>316</v>
      </c>
      <c r="D205" s="1">
        <v>1</v>
      </c>
      <c r="E205" s="1" t="s">
        <v>244</v>
      </c>
      <c r="F205" s="1" t="s">
        <v>62</v>
      </c>
      <c r="G205" s="1">
        <v>2</v>
      </c>
      <c r="H205" s="1">
        <v>1</v>
      </c>
      <c r="J205" s="1"/>
      <c r="K205" s="1"/>
      <c r="L205" s="1"/>
      <c r="M205" s="1"/>
      <c r="N205" s="1"/>
      <c r="O205" s="1"/>
    </row>
    <row r="206" spans="1:15" x14ac:dyDescent="0.25">
      <c r="A206" s="1"/>
      <c r="B206" s="1" t="s">
        <v>246</v>
      </c>
      <c r="C206" s="1">
        <v>395</v>
      </c>
      <c r="D206" s="1">
        <v>1</v>
      </c>
      <c r="E206" s="1" t="s">
        <v>244</v>
      </c>
      <c r="F206" s="1" t="s">
        <v>63</v>
      </c>
      <c r="G206" s="1">
        <v>2</v>
      </c>
      <c r="H206" s="1">
        <v>1</v>
      </c>
      <c r="I206" s="1"/>
      <c r="J206" s="1"/>
      <c r="K206" s="1"/>
      <c r="L206" s="1"/>
      <c r="M206" s="1"/>
      <c r="N206" s="1"/>
      <c r="O206" s="1"/>
    </row>
    <row r="207" spans="1:15" x14ac:dyDescent="0.25">
      <c r="A207" s="1"/>
      <c r="B207" s="1" t="s">
        <v>247</v>
      </c>
      <c r="C207" s="1">
        <v>474</v>
      </c>
      <c r="D207" s="1">
        <v>1</v>
      </c>
      <c r="E207" s="1" t="s">
        <v>244</v>
      </c>
      <c r="F207" s="1" t="s">
        <v>64</v>
      </c>
      <c r="G207" s="1">
        <v>2</v>
      </c>
      <c r="H207" s="1">
        <v>1</v>
      </c>
      <c r="I207" s="1"/>
      <c r="J207" s="1"/>
      <c r="K207" s="1"/>
      <c r="L207" s="1"/>
      <c r="M207" s="1"/>
      <c r="N207" s="1"/>
      <c r="O207" s="1"/>
    </row>
    <row r="208" spans="1:15" x14ac:dyDescent="0.25">
      <c r="A208" s="1"/>
      <c r="B208" s="1" t="s">
        <v>178</v>
      </c>
      <c r="C208" s="1">
        <v>144</v>
      </c>
      <c r="D208" s="1">
        <v>1</v>
      </c>
      <c r="E208" s="1" t="s">
        <v>181</v>
      </c>
      <c r="F208" s="1" t="s">
        <v>62</v>
      </c>
      <c r="G208" s="1">
        <v>2</v>
      </c>
      <c r="H208" s="1">
        <v>0</v>
      </c>
      <c r="J208" s="1"/>
      <c r="K208" s="1"/>
      <c r="L208" s="1"/>
      <c r="M208" s="1"/>
      <c r="N208" s="1"/>
      <c r="O208" s="1"/>
    </row>
    <row r="209" spans="1:15" x14ac:dyDescent="0.25">
      <c r="A209" s="1"/>
      <c r="B209" s="1" t="s">
        <v>179</v>
      </c>
      <c r="C209" s="1">
        <v>180</v>
      </c>
      <c r="D209" s="1">
        <v>1</v>
      </c>
      <c r="E209" s="1" t="s">
        <v>181</v>
      </c>
      <c r="F209" s="1" t="s">
        <v>63</v>
      </c>
      <c r="G209" s="1">
        <v>2</v>
      </c>
      <c r="H209" s="1">
        <v>0</v>
      </c>
      <c r="I209" s="1"/>
      <c r="J209" s="1"/>
      <c r="K209" s="1"/>
      <c r="L209" s="1"/>
      <c r="M209" s="1"/>
      <c r="N209" s="1"/>
      <c r="O209" s="1"/>
    </row>
    <row r="210" spans="1:15" x14ac:dyDescent="0.25">
      <c r="A210" s="1"/>
      <c r="B210" s="1" t="s">
        <v>180</v>
      </c>
      <c r="C210" s="1">
        <v>216</v>
      </c>
      <c r="D210" s="1">
        <v>1</v>
      </c>
      <c r="E210" s="1" t="s">
        <v>181</v>
      </c>
      <c r="F210" s="1" t="s">
        <v>64</v>
      </c>
      <c r="G210" s="1">
        <v>2</v>
      </c>
      <c r="H210" s="1">
        <v>0</v>
      </c>
      <c r="I210" s="1"/>
      <c r="J210" s="1"/>
      <c r="K210" s="1"/>
      <c r="L210" s="1"/>
      <c r="M210" s="1"/>
      <c r="N210" s="1"/>
      <c r="O210" s="1"/>
    </row>
    <row r="211" spans="1:15" x14ac:dyDescent="0.25">
      <c r="A211" s="1"/>
      <c r="B211" s="1" t="s">
        <v>182</v>
      </c>
      <c r="C211" s="1">
        <v>132</v>
      </c>
      <c r="D211" s="1">
        <v>1</v>
      </c>
      <c r="E211" s="1" t="s">
        <v>189</v>
      </c>
      <c r="F211" s="1" t="s">
        <v>62</v>
      </c>
      <c r="G211" s="1">
        <v>2</v>
      </c>
      <c r="H211" s="1">
        <v>0</v>
      </c>
      <c r="J211" s="1"/>
      <c r="K211" s="1"/>
      <c r="L211" s="1"/>
      <c r="M211" s="1"/>
      <c r="N211" s="1"/>
      <c r="O211" s="1"/>
    </row>
    <row r="212" spans="1:15" x14ac:dyDescent="0.25">
      <c r="A212" s="1"/>
      <c r="B212" s="1" t="s">
        <v>183</v>
      </c>
      <c r="C212" s="1">
        <v>165</v>
      </c>
      <c r="D212" s="1">
        <v>1</v>
      </c>
      <c r="E212" s="1" t="s">
        <v>189</v>
      </c>
      <c r="F212" s="1" t="s">
        <v>63</v>
      </c>
      <c r="G212" s="1">
        <v>2</v>
      </c>
      <c r="H212" s="1">
        <v>0</v>
      </c>
      <c r="I212" s="1"/>
      <c r="J212" s="1"/>
      <c r="K212" s="1"/>
      <c r="L212" s="1"/>
      <c r="M212" s="1"/>
      <c r="N212" s="1"/>
      <c r="O212" s="1"/>
    </row>
    <row r="213" spans="1:15" x14ac:dyDescent="0.25">
      <c r="A213" s="1"/>
      <c r="B213" s="1" t="s">
        <v>184</v>
      </c>
      <c r="C213" s="1">
        <v>197</v>
      </c>
      <c r="D213" s="1">
        <v>1</v>
      </c>
      <c r="E213" s="1" t="s">
        <v>189</v>
      </c>
      <c r="F213" s="1" t="s">
        <v>64</v>
      </c>
      <c r="G213" s="1">
        <v>2</v>
      </c>
      <c r="H213" s="1">
        <v>0</v>
      </c>
      <c r="I213" s="1"/>
      <c r="J213" s="1"/>
      <c r="K213" s="1"/>
      <c r="L213" s="1"/>
      <c r="M213" s="1"/>
      <c r="N213" s="1"/>
      <c r="O213" s="1"/>
    </row>
    <row r="214" spans="1:15" x14ac:dyDescent="0.25">
      <c r="A214" s="1"/>
      <c r="B214" s="1" t="s">
        <v>185</v>
      </c>
      <c r="C214" s="1">
        <v>204</v>
      </c>
      <c r="D214" s="1">
        <v>1</v>
      </c>
      <c r="E214" s="1" t="s">
        <v>188</v>
      </c>
      <c r="F214" s="1" t="s">
        <v>62</v>
      </c>
      <c r="G214" s="1">
        <v>2</v>
      </c>
      <c r="H214" s="1">
        <v>0</v>
      </c>
      <c r="J214" s="1"/>
      <c r="K214" s="1"/>
      <c r="L214" s="1"/>
      <c r="M214" s="1"/>
      <c r="N214" s="1"/>
      <c r="O214" s="1"/>
    </row>
    <row r="215" spans="1:15" x14ac:dyDescent="0.25">
      <c r="A215" s="1"/>
      <c r="B215" s="1" t="s">
        <v>186</v>
      </c>
      <c r="C215" s="1">
        <v>255</v>
      </c>
      <c r="D215" s="1">
        <v>1</v>
      </c>
      <c r="E215" s="1" t="s">
        <v>188</v>
      </c>
      <c r="F215" s="1" t="s">
        <v>63</v>
      </c>
      <c r="G215" s="1">
        <v>2</v>
      </c>
      <c r="H215" s="1">
        <v>0</v>
      </c>
      <c r="I215" s="1"/>
      <c r="J215" s="1"/>
      <c r="K215" s="1"/>
      <c r="L215" s="1"/>
      <c r="M215" s="1"/>
      <c r="N215" s="1"/>
      <c r="O215" s="1"/>
    </row>
    <row r="216" spans="1:15" x14ac:dyDescent="0.25">
      <c r="A216" s="1"/>
      <c r="B216" s="1" t="s">
        <v>187</v>
      </c>
      <c r="C216" s="1">
        <v>306</v>
      </c>
      <c r="D216" s="1">
        <v>1</v>
      </c>
      <c r="E216" s="1" t="s">
        <v>188</v>
      </c>
      <c r="F216" s="1" t="s">
        <v>64</v>
      </c>
      <c r="G216" s="1">
        <v>2</v>
      </c>
      <c r="H216" s="1">
        <v>0</v>
      </c>
      <c r="I216" s="1"/>
      <c r="J216" s="1"/>
      <c r="K216" s="1"/>
      <c r="L216" s="1"/>
      <c r="M216" s="1"/>
      <c r="N216" s="1"/>
      <c r="O216" s="1"/>
    </row>
    <row r="217" spans="1:15" x14ac:dyDescent="0.25">
      <c r="A217" s="1"/>
      <c r="B217" s="1" t="s">
        <v>143</v>
      </c>
      <c r="C217" s="1">
        <v>128</v>
      </c>
      <c r="D217" s="1">
        <v>1</v>
      </c>
      <c r="E217" s="1" t="s">
        <v>147</v>
      </c>
      <c r="F217" s="1" t="s">
        <v>62</v>
      </c>
      <c r="G217" s="1">
        <v>0</v>
      </c>
      <c r="H217" s="1">
        <v>0</v>
      </c>
      <c r="J217" s="1"/>
      <c r="K217" s="1"/>
      <c r="L217" s="1"/>
      <c r="M217" s="1"/>
      <c r="N217" s="1"/>
      <c r="O217" s="1"/>
    </row>
    <row r="218" spans="1:15" x14ac:dyDescent="0.25">
      <c r="A218" s="1"/>
      <c r="B218" s="1" t="s">
        <v>144</v>
      </c>
      <c r="C218" s="1">
        <v>160</v>
      </c>
      <c r="D218" s="1">
        <v>1</v>
      </c>
      <c r="E218" s="1" t="s">
        <v>147</v>
      </c>
      <c r="F218" s="1" t="s">
        <v>63</v>
      </c>
      <c r="G218" s="1">
        <v>0</v>
      </c>
      <c r="H218" s="1">
        <v>0</v>
      </c>
      <c r="I218" s="1"/>
      <c r="J218" s="1"/>
      <c r="K218" s="1"/>
      <c r="L218" s="1"/>
      <c r="M218" s="1"/>
      <c r="N218" s="1"/>
      <c r="O218" s="1"/>
    </row>
    <row r="219" spans="1:15" x14ac:dyDescent="0.25">
      <c r="A219" s="1"/>
      <c r="B219" s="1" t="s">
        <v>145</v>
      </c>
      <c r="C219" s="1">
        <v>192</v>
      </c>
      <c r="D219" s="1">
        <v>1</v>
      </c>
      <c r="E219" s="1" t="s">
        <v>147</v>
      </c>
      <c r="F219" s="1" t="s">
        <v>64</v>
      </c>
      <c r="G219" s="1">
        <v>0</v>
      </c>
      <c r="H219" s="1">
        <v>0</v>
      </c>
      <c r="I219" s="1"/>
      <c r="J219" s="1"/>
      <c r="K219" s="1"/>
      <c r="L219" s="1"/>
      <c r="N219" s="1"/>
      <c r="O219" s="1"/>
    </row>
    <row r="220" spans="1:15" x14ac:dyDescent="0.25">
      <c r="A220" s="1"/>
      <c r="B220" s="1" t="s">
        <v>249</v>
      </c>
      <c r="C220" s="1">
        <v>112</v>
      </c>
      <c r="D220" s="1">
        <v>1</v>
      </c>
      <c r="E220" s="1" t="s">
        <v>248</v>
      </c>
      <c r="F220" s="1" t="s">
        <v>62</v>
      </c>
      <c r="G220" s="1">
        <v>0</v>
      </c>
      <c r="H220" s="1">
        <v>0</v>
      </c>
      <c r="J220" s="1"/>
      <c r="K220" s="1"/>
      <c r="L220" s="1"/>
      <c r="M220" s="1"/>
      <c r="N220" s="1"/>
      <c r="O220" s="1"/>
    </row>
    <row r="221" spans="1:15" x14ac:dyDescent="0.25">
      <c r="A221" s="1"/>
      <c r="B221" s="1" t="s">
        <v>250</v>
      </c>
      <c r="C221" s="1">
        <v>140</v>
      </c>
      <c r="D221" s="1">
        <v>1</v>
      </c>
      <c r="E221" s="1" t="s">
        <v>248</v>
      </c>
      <c r="F221" s="1" t="s">
        <v>63</v>
      </c>
      <c r="G221" s="1">
        <v>0</v>
      </c>
      <c r="H221" s="1">
        <v>0</v>
      </c>
      <c r="I221" s="1"/>
      <c r="J221" s="1"/>
      <c r="K221" s="1"/>
      <c r="L221" s="1"/>
      <c r="M221" s="1"/>
      <c r="N221" s="1"/>
      <c r="O221" s="1"/>
    </row>
    <row r="222" spans="1:15" x14ac:dyDescent="0.25">
      <c r="A222" s="1"/>
      <c r="B222" s="1" t="s">
        <v>251</v>
      </c>
      <c r="C222" s="1">
        <v>168</v>
      </c>
      <c r="D222" s="1">
        <v>1</v>
      </c>
      <c r="E222" s="1" t="s">
        <v>248</v>
      </c>
      <c r="F222" s="1" t="s">
        <v>64</v>
      </c>
      <c r="G222" s="1">
        <v>0</v>
      </c>
      <c r="H222" s="1">
        <v>0</v>
      </c>
      <c r="I222" s="1"/>
      <c r="J222" s="1"/>
      <c r="K222" s="1"/>
      <c r="L222" s="1"/>
      <c r="M222" s="1"/>
      <c r="N222" s="1"/>
      <c r="O222" s="1"/>
    </row>
    <row r="223" spans="1:15" x14ac:dyDescent="0.25">
      <c r="A223" s="1"/>
      <c r="B223" s="1" t="s">
        <v>252</v>
      </c>
      <c r="C223" s="1">
        <v>160</v>
      </c>
      <c r="D223" s="1">
        <v>1</v>
      </c>
      <c r="E223" s="1" t="s">
        <v>255</v>
      </c>
      <c r="F223" s="1" t="s">
        <v>62</v>
      </c>
      <c r="G223" s="1">
        <v>0</v>
      </c>
      <c r="H223" s="1">
        <v>0</v>
      </c>
      <c r="J223" s="1"/>
      <c r="K223" s="1"/>
      <c r="L223" s="1"/>
      <c r="M223" s="1"/>
      <c r="N223" s="1"/>
      <c r="O223" s="1"/>
    </row>
    <row r="224" spans="1:15" x14ac:dyDescent="0.25">
      <c r="A224" s="1"/>
      <c r="B224" s="1" t="s">
        <v>253</v>
      </c>
      <c r="C224" s="1">
        <v>200</v>
      </c>
      <c r="D224" s="1">
        <v>1</v>
      </c>
      <c r="E224" s="1" t="s">
        <v>255</v>
      </c>
      <c r="F224" s="1" t="s">
        <v>63</v>
      </c>
      <c r="G224" s="1">
        <v>0</v>
      </c>
      <c r="H224" s="1">
        <v>0</v>
      </c>
      <c r="J224" s="1"/>
      <c r="K224" s="1"/>
      <c r="L224" s="1"/>
      <c r="M224" s="1"/>
      <c r="N224" s="1"/>
      <c r="O224" s="1"/>
    </row>
    <row r="225" spans="1:15" x14ac:dyDescent="0.25">
      <c r="A225" s="1"/>
      <c r="B225" s="1" t="s">
        <v>254</v>
      </c>
      <c r="C225" s="1">
        <v>240</v>
      </c>
      <c r="D225" s="1">
        <v>1</v>
      </c>
      <c r="E225" s="1" t="s">
        <v>255</v>
      </c>
      <c r="F225" s="1" t="s">
        <v>64</v>
      </c>
      <c r="G225" s="1">
        <v>0</v>
      </c>
      <c r="H225" s="1">
        <v>0</v>
      </c>
      <c r="I225" s="1"/>
      <c r="J225" s="1"/>
      <c r="K225" s="1"/>
      <c r="L225" s="1"/>
      <c r="M225" s="1"/>
      <c r="N225" s="1"/>
      <c r="O225" s="1"/>
    </row>
    <row r="226" spans="1:15" x14ac:dyDescent="0.25">
      <c r="A226" s="1"/>
      <c r="B226" s="1" t="s">
        <v>355</v>
      </c>
      <c r="C226" s="1">
        <v>100</v>
      </c>
      <c r="D226" s="1">
        <v>1</v>
      </c>
      <c r="E226" s="1" t="s">
        <v>354</v>
      </c>
      <c r="F226" s="1" t="s">
        <v>62</v>
      </c>
      <c r="G226" s="1">
        <v>3</v>
      </c>
      <c r="H226" s="1">
        <v>0</v>
      </c>
      <c r="J226" s="1"/>
      <c r="K226" s="1"/>
      <c r="L226" s="1"/>
      <c r="M226" s="1"/>
      <c r="N226" s="1"/>
      <c r="O226" s="1"/>
    </row>
    <row r="227" spans="1:15" x14ac:dyDescent="0.25">
      <c r="A227" s="1"/>
      <c r="B227" s="1" t="s">
        <v>356</v>
      </c>
      <c r="C227" s="1">
        <v>125</v>
      </c>
      <c r="D227" s="1">
        <v>1</v>
      </c>
      <c r="E227" s="1" t="s">
        <v>354</v>
      </c>
      <c r="F227" s="1" t="s">
        <v>63</v>
      </c>
      <c r="G227" s="1">
        <v>3</v>
      </c>
      <c r="H227" s="1">
        <v>0</v>
      </c>
      <c r="I227" s="1"/>
      <c r="J227" s="1"/>
      <c r="K227" s="1"/>
      <c r="L227" s="1"/>
      <c r="M227" s="1"/>
      <c r="N227" s="1"/>
      <c r="O227" s="1"/>
    </row>
    <row r="228" spans="1:15" x14ac:dyDescent="0.25">
      <c r="A228" s="1"/>
      <c r="B228" s="1" t="s">
        <v>357</v>
      </c>
      <c r="C228" s="1">
        <v>150</v>
      </c>
      <c r="D228" s="1">
        <v>1</v>
      </c>
      <c r="E228" s="1" t="s">
        <v>354</v>
      </c>
      <c r="F228" s="1" t="s">
        <v>64</v>
      </c>
      <c r="G228" s="1">
        <v>3</v>
      </c>
      <c r="H228" s="1">
        <v>0</v>
      </c>
      <c r="I228" s="1"/>
      <c r="J228" s="1"/>
      <c r="K228" s="1"/>
      <c r="L228" s="1"/>
      <c r="M228" s="1"/>
      <c r="N228" s="1"/>
      <c r="O228" s="1"/>
    </row>
    <row r="229" spans="1:15" x14ac:dyDescent="0.25">
      <c r="A229" s="1"/>
      <c r="B229" s="1" t="s">
        <v>358</v>
      </c>
      <c r="C229" s="1">
        <f>C226-50</f>
        <v>50</v>
      </c>
      <c r="D229" s="1">
        <v>1</v>
      </c>
      <c r="E229" s="1" t="s">
        <v>362</v>
      </c>
      <c r="F229" s="1" t="s">
        <v>62</v>
      </c>
      <c r="G229" s="1">
        <v>3</v>
      </c>
      <c r="H229" s="1">
        <v>0</v>
      </c>
      <c r="I229" s="1"/>
      <c r="J229" s="1"/>
      <c r="K229" s="1"/>
      <c r="L229" s="1"/>
      <c r="M229" s="1"/>
      <c r="N229" s="1"/>
      <c r="O229" s="1"/>
    </row>
    <row r="230" spans="1:15" x14ac:dyDescent="0.25">
      <c r="A230" s="1"/>
      <c r="B230" s="1" t="s">
        <v>359</v>
      </c>
      <c r="C230" s="1">
        <f>C227-50</f>
        <v>75</v>
      </c>
      <c r="D230" s="1">
        <v>1</v>
      </c>
      <c r="E230" s="1" t="s">
        <v>362</v>
      </c>
      <c r="F230" s="1" t="s">
        <v>63</v>
      </c>
      <c r="G230" s="1">
        <v>3</v>
      </c>
      <c r="H230" s="1">
        <v>0</v>
      </c>
      <c r="I230" s="1"/>
      <c r="J230" s="1"/>
      <c r="K230" s="1"/>
      <c r="L230" s="1"/>
      <c r="M230" s="1"/>
      <c r="N230" s="1"/>
      <c r="O230" s="1"/>
    </row>
    <row r="231" spans="1:15" x14ac:dyDescent="0.25">
      <c r="A231" s="1"/>
      <c r="B231" s="1" t="s">
        <v>360</v>
      </c>
      <c r="C231" s="1">
        <f>C228-50</f>
        <v>100</v>
      </c>
      <c r="D231" s="1">
        <v>1</v>
      </c>
      <c r="E231" s="1" t="s">
        <v>362</v>
      </c>
      <c r="F231" s="1" t="s">
        <v>64</v>
      </c>
      <c r="G231" s="1">
        <v>3</v>
      </c>
      <c r="H231" s="1">
        <v>0</v>
      </c>
      <c r="I231" s="1"/>
      <c r="J231" s="1"/>
      <c r="K231" s="1"/>
      <c r="L231" s="1"/>
      <c r="M231" s="1"/>
      <c r="N231" s="1"/>
      <c r="O231" s="1"/>
    </row>
    <row r="232" spans="1:15" x14ac:dyDescent="0.25">
      <c r="A232" t="s">
        <v>176</v>
      </c>
      <c r="B232" s="1" t="s">
        <v>30</v>
      </c>
      <c r="C232" s="1">
        <v>0</v>
      </c>
      <c r="D232" s="1">
        <v>0</v>
      </c>
      <c r="E232" s="1"/>
      <c r="F232" s="1">
        <v>0</v>
      </c>
      <c r="G232" s="1"/>
      <c r="H232" s="1" t="s">
        <v>30</v>
      </c>
      <c r="L232" s="1"/>
      <c r="M232" s="1"/>
      <c r="N232" s="1"/>
      <c r="O232" s="1"/>
    </row>
    <row r="233" spans="1:15" x14ac:dyDescent="0.25">
      <c r="A233" s="1"/>
      <c r="B233" s="1" t="s">
        <v>175</v>
      </c>
      <c r="C233" s="1">
        <v>25</v>
      </c>
      <c r="D233" s="1">
        <v>1</v>
      </c>
      <c r="E233" s="1" t="s">
        <v>175</v>
      </c>
      <c r="F233" s="1">
        <v>2</v>
      </c>
      <c r="G233" s="1"/>
      <c r="H233" s="1" t="s">
        <v>175</v>
      </c>
      <c r="L233" s="1"/>
      <c r="M233" s="1"/>
      <c r="N233" s="1"/>
      <c r="O233" s="1"/>
    </row>
    <row r="234" spans="1:15" x14ac:dyDescent="0.25">
      <c r="A234" s="1"/>
      <c r="B234" s="1" t="s">
        <v>177</v>
      </c>
      <c r="C234" s="1">
        <v>25</v>
      </c>
      <c r="D234" s="1">
        <v>1</v>
      </c>
      <c r="E234" s="1" t="s">
        <v>177</v>
      </c>
      <c r="F234" s="1">
        <v>3</v>
      </c>
      <c r="G234" s="1"/>
      <c r="H234" s="1" t="s">
        <v>177</v>
      </c>
      <c r="L234" s="1"/>
      <c r="M234" s="1"/>
      <c r="N234" s="1"/>
      <c r="O234" s="1"/>
    </row>
    <row r="235" spans="1:15" x14ac:dyDescent="0.25">
      <c r="A235" s="1"/>
      <c r="B235" s="1"/>
      <c r="C235" s="1"/>
      <c r="D235" s="1"/>
      <c r="E235" s="1"/>
      <c r="F235" s="1"/>
      <c r="G235" s="1"/>
      <c r="H235" s="1"/>
      <c r="L235" s="1"/>
      <c r="M235" s="1"/>
      <c r="N235" s="1"/>
      <c r="O235" s="1"/>
    </row>
    <row r="236" spans="1:15" x14ac:dyDescent="0.25">
      <c r="A236" s="1"/>
      <c r="B236" s="1" t="s">
        <v>30</v>
      </c>
      <c r="C236" s="1">
        <v>0</v>
      </c>
      <c r="D236" s="1">
        <v>0</v>
      </c>
      <c r="E236" s="1"/>
      <c r="F236" s="1"/>
      <c r="G236" s="1"/>
      <c r="H236" s="1" t="s">
        <v>30</v>
      </c>
      <c r="L236" s="1"/>
      <c r="M236" s="1"/>
      <c r="N236" s="1"/>
      <c r="O236" s="1"/>
    </row>
    <row r="237" spans="1:15" x14ac:dyDescent="0.25">
      <c r="A237" s="1"/>
      <c r="B237" s="1" t="s">
        <v>296</v>
      </c>
      <c r="C237" s="1">
        <v>10</v>
      </c>
      <c r="D237" s="1">
        <v>1</v>
      </c>
      <c r="E237" s="1" t="s">
        <v>296</v>
      </c>
      <c r="F237" s="1">
        <v>1</v>
      </c>
      <c r="G237" s="1"/>
      <c r="H237" s="1" t="s">
        <v>296</v>
      </c>
      <c r="L237" s="1"/>
      <c r="M237" s="1"/>
      <c r="N237" s="1"/>
      <c r="O237" s="1"/>
    </row>
    <row r="238" spans="1:15" x14ac:dyDescent="0.25">
      <c r="A238" s="1"/>
      <c r="B238" s="1"/>
      <c r="C238" s="1"/>
      <c r="D238" s="1"/>
      <c r="E238" s="1"/>
      <c r="F238" s="1"/>
      <c r="G238" s="1"/>
      <c r="H238" s="1"/>
      <c r="L238" s="1"/>
      <c r="M238" s="1"/>
      <c r="N238" s="1"/>
    </row>
    <row r="239" spans="1:15" x14ac:dyDescent="0.25">
      <c r="A239" s="1"/>
      <c r="B239" s="1"/>
      <c r="C239" s="1"/>
      <c r="D239" s="1"/>
      <c r="E239" s="1"/>
      <c r="F239" s="1"/>
      <c r="G239" s="1"/>
      <c r="H239" s="1"/>
      <c r="L239" s="1"/>
      <c r="M239" s="1"/>
      <c r="N239" s="1"/>
    </row>
    <row r="240" spans="1:15" x14ac:dyDescent="0.25">
      <c r="A240" s="1"/>
      <c r="B240" s="1"/>
      <c r="C240" s="1"/>
      <c r="D240" s="1"/>
      <c r="E240" s="1"/>
      <c r="F240" s="1"/>
      <c r="G240" s="1"/>
      <c r="H240" s="1"/>
      <c r="L240" s="1"/>
      <c r="M240" s="1"/>
      <c r="N240" s="1"/>
    </row>
    <row r="241" spans="1:13" x14ac:dyDescent="0.25">
      <c r="A241" s="1"/>
      <c r="B241" s="1"/>
      <c r="C241" s="1"/>
      <c r="D241" s="1"/>
      <c r="E241" s="1"/>
      <c r="F241" s="1"/>
      <c r="G241" s="1"/>
      <c r="H241" s="1"/>
      <c r="L241" s="1"/>
      <c r="M241" s="1"/>
    </row>
    <row r="242" spans="1:13" x14ac:dyDescent="0.25">
      <c r="A242" s="1"/>
      <c r="B242" s="1"/>
      <c r="C242" s="1"/>
      <c r="D242" s="1"/>
      <c r="E242" s="1"/>
      <c r="F242" s="1"/>
      <c r="G242" s="1"/>
      <c r="H242" s="1"/>
      <c r="L242" s="1"/>
      <c r="M242" s="1"/>
    </row>
    <row r="243" spans="1:13" x14ac:dyDescent="0.25">
      <c r="A243" s="1"/>
      <c r="B243" s="1"/>
      <c r="C243" s="1"/>
      <c r="D243" s="1"/>
      <c r="E243" s="1"/>
      <c r="F243" s="1"/>
      <c r="G243" s="1"/>
      <c r="L243" s="1"/>
      <c r="M243" s="1"/>
    </row>
    <row r="244" spans="1:13" x14ac:dyDescent="0.25">
      <c r="A244" s="1"/>
      <c r="B244" s="1"/>
      <c r="C244" s="1"/>
      <c r="D244" s="1"/>
      <c r="E244" s="1"/>
      <c r="F244" s="1"/>
      <c r="G244" s="1"/>
      <c r="L244" s="1"/>
      <c r="M244" s="1"/>
    </row>
    <row r="245" spans="1:13" x14ac:dyDescent="0.25">
      <c r="A245" s="1"/>
      <c r="B245" s="1"/>
      <c r="C245" s="1"/>
      <c r="D245" s="1"/>
      <c r="E245" s="1"/>
      <c r="F245" s="1"/>
      <c r="G245" s="1"/>
      <c r="L245" s="1"/>
      <c r="M245" s="1"/>
    </row>
    <row r="246" spans="1:13" x14ac:dyDescent="0.25">
      <c r="A246" s="1"/>
      <c r="B246" s="1"/>
      <c r="C246" s="1"/>
      <c r="D246" s="1"/>
      <c r="E246" s="1"/>
      <c r="F246" s="1"/>
      <c r="G246" s="1"/>
      <c r="L246" s="1"/>
      <c r="M246" s="1"/>
    </row>
    <row r="247" spans="1:13" x14ac:dyDescent="0.25">
      <c r="A247" s="1"/>
      <c r="B247" s="1"/>
      <c r="C247" s="1"/>
      <c r="D247" s="1"/>
      <c r="E247" s="1"/>
      <c r="F247" s="1"/>
      <c r="G247" s="1"/>
      <c r="L247" s="1"/>
      <c r="M247" s="1"/>
    </row>
    <row r="248" spans="1:13" x14ac:dyDescent="0.25">
      <c r="A248" s="1"/>
      <c r="B248" s="1"/>
      <c r="C248" s="1"/>
      <c r="D248" s="1"/>
      <c r="E248" s="1"/>
      <c r="F248" s="1"/>
      <c r="G248" s="1"/>
      <c r="L248" s="1"/>
      <c r="M248" s="1"/>
    </row>
    <row r="249" spans="1:13" x14ac:dyDescent="0.25">
      <c r="A249" s="1"/>
      <c r="B249" s="1"/>
      <c r="C249" s="1"/>
      <c r="D249" s="1"/>
      <c r="E249" s="1"/>
      <c r="F249" s="1"/>
      <c r="G249" s="1"/>
      <c r="L249" s="1"/>
      <c r="M249" s="1"/>
    </row>
    <row r="250" spans="1:13" x14ac:dyDescent="0.25">
      <c r="A250" s="1"/>
      <c r="B250" s="1"/>
      <c r="C250" s="1"/>
      <c r="D250" s="1"/>
      <c r="E250" s="1"/>
      <c r="F250" s="1"/>
      <c r="G250" s="1"/>
    </row>
    <row r="251" spans="1:13" x14ac:dyDescent="0.25">
      <c r="A251" s="1"/>
      <c r="B251" s="1"/>
      <c r="C251" s="1"/>
      <c r="D251" s="1"/>
      <c r="E251" s="1"/>
      <c r="F251" s="1"/>
      <c r="G251" s="1"/>
    </row>
    <row r="252" spans="1:13" x14ac:dyDescent="0.25">
      <c r="A252" s="1"/>
      <c r="B252" s="1"/>
      <c r="C252" s="1"/>
      <c r="D252" s="1"/>
      <c r="E252" s="1"/>
      <c r="F252" s="1"/>
      <c r="G252" s="1"/>
    </row>
    <row r="253" spans="1:13" x14ac:dyDescent="0.25">
      <c r="A253" s="1"/>
      <c r="B253" s="1"/>
      <c r="C253" s="1"/>
      <c r="D253" s="1"/>
      <c r="E253" s="1"/>
      <c r="F253" s="1"/>
      <c r="G253" s="1"/>
    </row>
    <row r="254" spans="1:13" x14ac:dyDescent="0.25">
      <c r="A254" s="1"/>
      <c r="B254" s="1"/>
      <c r="C254" s="1"/>
      <c r="D254" s="1"/>
      <c r="E254" s="1"/>
      <c r="F254" s="1"/>
      <c r="G254" s="1"/>
    </row>
    <row r="255" spans="1:13" x14ac:dyDescent="0.25">
      <c r="A255" s="1"/>
      <c r="B255" s="1"/>
      <c r="C255" s="1"/>
      <c r="D255" s="1"/>
      <c r="E255" s="1"/>
      <c r="F255" s="1"/>
      <c r="G255" s="1"/>
    </row>
    <row r="256" spans="1:13" x14ac:dyDescent="0.25">
      <c r="A256" s="1"/>
      <c r="B256" s="1"/>
      <c r="C256" s="1"/>
      <c r="D256" s="1"/>
      <c r="E256" s="1"/>
      <c r="F256" s="1"/>
      <c r="G256" s="1"/>
    </row>
    <row r="257" spans="1:7" x14ac:dyDescent="0.25">
      <c r="A257" s="1"/>
      <c r="B257" s="1"/>
      <c r="C257" s="1"/>
      <c r="D257" s="1"/>
      <c r="E257" s="1"/>
      <c r="F257" s="1"/>
      <c r="G257" s="1"/>
    </row>
    <row r="258" spans="1:7" x14ac:dyDescent="0.25">
      <c r="A258" s="1"/>
      <c r="B258" s="1"/>
      <c r="C258" s="1"/>
      <c r="D258" s="1"/>
      <c r="E258" s="1"/>
      <c r="F258" s="1"/>
      <c r="G258" s="1"/>
    </row>
    <row r="259" spans="1:7" x14ac:dyDescent="0.25">
      <c r="A259" s="1"/>
      <c r="B259" s="1"/>
      <c r="C259" s="1"/>
      <c r="D259" s="1"/>
      <c r="E259" s="1"/>
      <c r="F259" s="1"/>
      <c r="G259" s="1"/>
    </row>
    <row r="260" spans="1:7" x14ac:dyDescent="0.25">
      <c r="A260" s="1"/>
      <c r="B260" s="1"/>
      <c r="C260" s="1"/>
      <c r="D260" s="1"/>
      <c r="E260" s="1"/>
      <c r="F260" s="1"/>
      <c r="G260" s="1"/>
    </row>
    <row r="261" spans="1:7" x14ac:dyDescent="0.25">
      <c r="A261" s="1"/>
      <c r="B261" s="1"/>
    </row>
    <row r="262" spans="1:7" x14ac:dyDescent="0.25">
      <c r="A262" s="1"/>
      <c r="B262" s="1"/>
    </row>
    <row r="263" spans="1:7" x14ac:dyDescent="0.25">
      <c r="A263" s="1"/>
      <c r="B263" s="1"/>
    </row>
    <row r="264" spans="1:7" x14ac:dyDescent="0.25">
      <c r="A264" s="1"/>
      <c r="B264" s="1"/>
    </row>
    <row r="265" spans="1:7" x14ac:dyDescent="0.25">
      <c r="A265" s="1"/>
      <c r="B265" s="1"/>
    </row>
    <row r="266" spans="1:7" x14ac:dyDescent="0.25">
      <c r="A266" s="1"/>
      <c r="B266" s="1"/>
    </row>
    <row r="267" spans="1:7" x14ac:dyDescent="0.25">
      <c r="A267" s="1"/>
      <c r="B267" s="1"/>
    </row>
    <row r="268" spans="1:7" x14ac:dyDescent="0.25">
      <c r="A268" s="1"/>
      <c r="B268" s="1"/>
    </row>
    <row r="269" spans="1:7" x14ac:dyDescent="0.25">
      <c r="A269" s="1"/>
      <c r="B269" s="1"/>
    </row>
    <row r="270" spans="1:7" x14ac:dyDescent="0.25">
      <c r="A270" s="1"/>
      <c r="B270" s="1"/>
    </row>
    <row r="271" spans="1:7" x14ac:dyDescent="0.25">
      <c r="A271" s="1"/>
      <c r="B271" s="1"/>
    </row>
    <row r="272" spans="1:7" x14ac:dyDescent="0.25">
      <c r="A272" s="1"/>
      <c r="B272" s="1"/>
    </row>
    <row r="273" spans="1:2" x14ac:dyDescent="0.25">
      <c r="A273" s="1"/>
      <c r="B273" s="1"/>
    </row>
    <row r="274" spans="1:2" x14ac:dyDescent="0.25">
      <c r="A274" s="1"/>
      <c r="B274" s="1"/>
    </row>
    <row r="275" spans="1:2" x14ac:dyDescent="0.25">
      <c r="A275" s="1"/>
      <c r="B275" s="1"/>
    </row>
    <row r="276" spans="1:2" x14ac:dyDescent="0.25">
      <c r="A276" s="1"/>
      <c r="B276" s="1"/>
    </row>
    <row r="277" spans="1:2" x14ac:dyDescent="0.25">
      <c r="A277" s="1"/>
      <c r="B277" s="1"/>
    </row>
    <row r="278" spans="1:2" x14ac:dyDescent="0.25">
      <c r="A278" s="1"/>
      <c r="B278" s="1"/>
    </row>
    <row r="279" spans="1:2" x14ac:dyDescent="0.25">
      <c r="A279" s="1"/>
      <c r="B279" s="1"/>
    </row>
    <row r="280" spans="1:2" x14ac:dyDescent="0.25">
      <c r="A280" s="1"/>
      <c r="B280" s="1"/>
    </row>
    <row r="281" spans="1:2" x14ac:dyDescent="0.25">
      <c r="A281" s="1"/>
      <c r="B281" s="1"/>
    </row>
    <row r="282" spans="1:2" x14ac:dyDescent="0.25">
      <c r="A282" s="1"/>
      <c r="B282" s="1"/>
    </row>
    <row r="283" spans="1:2" x14ac:dyDescent="0.25">
      <c r="A283" s="1"/>
      <c r="B283" s="1"/>
    </row>
    <row r="284" spans="1:2" x14ac:dyDescent="0.25">
      <c r="A284" s="1"/>
      <c r="B284" s="1"/>
    </row>
    <row r="285" spans="1:2" x14ac:dyDescent="0.25">
      <c r="A285" s="1"/>
      <c r="B285" s="1"/>
    </row>
    <row r="286" spans="1:2" x14ac:dyDescent="0.25">
      <c r="A286" s="1"/>
      <c r="B286" s="1"/>
    </row>
    <row r="287" spans="1:2" x14ac:dyDescent="0.25">
      <c r="A287" s="1"/>
      <c r="B287" s="1"/>
    </row>
    <row r="288" spans="1:2" x14ac:dyDescent="0.25">
      <c r="A288" s="1"/>
      <c r="B288" s="1"/>
    </row>
    <row r="289" spans="1:2" x14ac:dyDescent="0.25">
      <c r="A289" s="1"/>
      <c r="B289" s="1"/>
    </row>
    <row r="290" spans="1:2" x14ac:dyDescent="0.25">
      <c r="A290" s="1"/>
      <c r="B290" s="1"/>
    </row>
    <row r="291" spans="1:2" x14ac:dyDescent="0.25">
      <c r="A291" s="1"/>
      <c r="B291" s="1"/>
    </row>
    <row r="292" spans="1:2" x14ac:dyDescent="0.25">
      <c r="A292" s="1"/>
      <c r="B292" s="1"/>
    </row>
    <row r="293" spans="1:2" x14ac:dyDescent="0.25">
      <c r="A293" s="1"/>
      <c r="B293" s="1"/>
    </row>
    <row r="294" spans="1:2" x14ac:dyDescent="0.25">
      <c r="A294" s="1"/>
      <c r="B294" s="1"/>
    </row>
    <row r="295" spans="1:2" x14ac:dyDescent="0.25">
      <c r="A295" s="1"/>
      <c r="B295" s="1"/>
    </row>
    <row r="296" spans="1:2" x14ac:dyDescent="0.25">
      <c r="A296" s="1"/>
      <c r="B296" s="1"/>
    </row>
    <row r="297" spans="1:2" x14ac:dyDescent="0.25">
      <c r="A297" s="1"/>
      <c r="B297" s="1"/>
    </row>
    <row r="298" spans="1:2" x14ac:dyDescent="0.25">
      <c r="A298" s="1"/>
      <c r="B298" s="1"/>
    </row>
    <row r="299" spans="1:2" x14ac:dyDescent="0.25">
      <c r="A299" s="1"/>
      <c r="B299" s="1"/>
    </row>
    <row r="300" spans="1:2" x14ac:dyDescent="0.25">
      <c r="A300" s="1"/>
      <c r="B300" s="1"/>
    </row>
    <row r="301" spans="1:2" x14ac:dyDescent="0.25">
      <c r="A301" s="1"/>
      <c r="B301" s="1"/>
    </row>
    <row r="302" spans="1:2" x14ac:dyDescent="0.25">
      <c r="A302" s="1"/>
      <c r="B302" s="1"/>
    </row>
    <row r="303" spans="1:2" x14ac:dyDescent="0.25">
      <c r="A303" s="1"/>
      <c r="B303" s="1"/>
    </row>
    <row r="304" spans="1:2" x14ac:dyDescent="0.25">
      <c r="A304" s="1"/>
      <c r="B304" s="1"/>
    </row>
    <row r="305" spans="1:2" x14ac:dyDescent="0.25">
      <c r="A305" s="1"/>
      <c r="B305" s="1"/>
    </row>
    <row r="306" spans="1:2" x14ac:dyDescent="0.25">
      <c r="A306" s="1"/>
      <c r="B306" s="1"/>
    </row>
    <row r="307" spans="1:2" x14ac:dyDescent="0.25">
      <c r="A307" s="1"/>
      <c r="B307" s="1"/>
    </row>
    <row r="308" spans="1:2" x14ac:dyDescent="0.25">
      <c r="A308" s="1"/>
      <c r="B308" s="1"/>
    </row>
    <row r="309" spans="1:2" x14ac:dyDescent="0.25">
      <c r="A309" s="1"/>
      <c r="B309" s="1"/>
    </row>
    <row r="310" spans="1:2" x14ac:dyDescent="0.25">
      <c r="A310" s="1"/>
      <c r="B310" s="1"/>
    </row>
    <row r="311" spans="1:2" x14ac:dyDescent="0.25">
      <c r="A311" s="1"/>
      <c r="B311" s="1"/>
    </row>
    <row r="312" spans="1:2" x14ac:dyDescent="0.25">
      <c r="A312" s="1"/>
      <c r="B312" s="1"/>
    </row>
    <row r="313" spans="1:2" x14ac:dyDescent="0.25">
      <c r="A313" s="1"/>
      <c r="B313" s="1"/>
    </row>
    <row r="314" spans="1:2" x14ac:dyDescent="0.25">
      <c r="A314" s="1"/>
      <c r="B314" s="1"/>
    </row>
    <row r="315" spans="1:2" x14ac:dyDescent="0.25">
      <c r="A315" s="1"/>
      <c r="B315" s="1"/>
    </row>
    <row r="316" spans="1:2" x14ac:dyDescent="0.25">
      <c r="A316" s="1"/>
      <c r="B316" s="1"/>
    </row>
    <row r="317" spans="1:2" x14ac:dyDescent="0.25">
      <c r="A317" s="1"/>
      <c r="B317" s="1"/>
    </row>
    <row r="318" spans="1:2" x14ac:dyDescent="0.25">
      <c r="A318" s="1"/>
      <c r="B318" s="1"/>
    </row>
    <row r="319" spans="1:2" x14ac:dyDescent="0.25">
      <c r="A319" s="1"/>
      <c r="B319" s="1"/>
    </row>
    <row r="320" spans="1:2" x14ac:dyDescent="0.25">
      <c r="A320" s="1"/>
      <c r="B320" s="1"/>
    </row>
    <row r="321" spans="1:2" x14ac:dyDescent="0.25">
      <c r="A321" s="1"/>
      <c r="B321" s="1"/>
    </row>
    <row r="322" spans="1:2" x14ac:dyDescent="0.25">
      <c r="A322" s="1"/>
      <c r="B322" s="1"/>
    </row>
    <row r="323" spans="1:2" x14ac:dyDescent="0.25">
      <c r="A323" s="1"/>
      <c r="B323" s="1"/>
    </row>
    <row r="324" spans="1:2" x14ac:dyDescent="0.25">
      <c r="A324" s="1"/>
      <c r="B324" s="1"/>
    </row>
    <row r="325" spans="1:2" x14ac:dyDescent="0.25">
      <c r="A325" s="1"/>
      <c r="B325" s="1"/>
    </row>
    <row r="326" spans="1:2" x14ac:dyDescent="0.25">
      <c r="A326" s="1"/>
      <c r="B326" s="1"/>
    </row>
    <row r="327" spans="1:2" x14ac:dyDescent="0.25">
      <c r="A327" s="1"/>
      <c r="B327" s="1"/>
    </row>
    <row r="328" spans="1:2" x14ac:dyDescent="0.25">
      <c r="A328" s="1"/>
      <c r="B328" s="1"/>
    </row>
    <row r="329" spans="1:2" x14ac:dyDescent="0.25">
      <c r="A329" s="1"/>
      <c r="B329" s="1"/>
    </row>
  </sheetData>
  <sheetProtection password="D83F" sheet="1" objects="1" scenarios="1" selectLockedCells="1" selectUnlockedCells="1"/>
  <pageMargins left="0.7" right="0.7" top="0.75" bottom="0.75" header="0.3" footer="0.3"/>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2" sqref="B2"/>
    </sheetView>
  </sheetViews>
  <sheetFormatPr defaultRowHeight="15" x14ac:dyDescent="0.25"/>
  <cols>
    <col min="1" max="1" width="10.7109375" bestFit="1" customWidth="1"/>
    <col min="2" max="2" width="82.42578125" customWidth="1"/>
  </cols>
  <sheetData>
    <row r="1" spans="1:2" x14ac:dyDescent="0.25">
      <c r="A1" s="124" t="s">
        <v>366</v>
      </c>
      <c r="B1" s="125" t="s">
        <v>367</v>
      </c>
    </row>
    <row r="2" spans="1:2" x14ac:dyDescent="0.25">
      <c r="A2" s="119">
        <v>41471</v>
      </c>
      <c r="B2" s="120" t="s">
        <v>368</v>
      </c>
    </row>
    <row r="3" spans="1:2" x14ac:dyDescent="0.25">
      <c r="A3" s="121"/>
      <c r="B3" s="120"/>
    </row>
    <row r="4" spans="1:2" x14ac:dyDescent="0.25">
      <c r="A4" s="121"/>
      <c r="B4" s="120"/>
    </row>
    <row r="5" spans="1:2" x14ac:dyDescent="0.25">
      <c r="A5" s="121"/>
      <c r="B5" s="120"/>
    </row>
    <row r="6" spans="1:2" x14ac:dyDescent="0.25">
      <c r="A6" s="121"/>
      <c r="B6" s="120"/>
    </row>
    <row r="7" spans="1:2" x14ac:dyDescent="0.25">
      <c r="A7" s="121"/>
      <c r="B7" s="120"/>
    </row>
    <row r="8" spans="1:2" x14ac:dyDescent="0.25">
      <c r="A8" s="121"/>
      <c r="B8" s="120"/>
    </row>
    <row r="9" spans="1:2" x14ac:dyDescent="0.25">
      <c r="A9" s="121"/>
      <c r="B9" s="120"/>
    </row>
    <row r="10" spans="1:2" x14ac:dyDescent="0.25">
      <c r="A10" s="121"/>
      <c r="B10" s="120"/>
    </row>
    <row r="11" spans="1:2" x14ac:dyDescent="0.25">
      <c r="A11" s="121"/>
      <c r="B11" s="120"/>
    </row>
    <row r="12" spans="1:2" x14ac:dyDescent="0.25">
      <c r="A12" s="121"/>
      <c r="B12" s="120"/>
    </row>
    <row r="13" spans="1:2" x14ac:dyDescent="0.25">
      <c r="A13" s="121"/>
      <c r="B13" s="120"/>
    </row>
    <row r="14" spans="1:2" x14ac:dyDescent="0.25">
      <c r="A14" s="121"/>
      <c r="B14" s="120"/>
    </row>
    <row r="15" spans="1:2" x14ac:dyDescent="0.25">
      <c r="A15" s="121"/>
      <c r="B15" s="120"/>
    </row>
    <row r="16" spans="1:2" x14ac:dyDescent="0.25">
      <c r="A16" s="121"/>
      <c r="B16" s="120"/>
    </row>
    <row r="17" spans="1:2" x14ac:dyDescent="0.25">
      <c r="A17" s="121"/>
      <c r="B17" s="120"/>
    </row>
    <row r="18" spans="1:2" x14ac:dyDescent="0.25">
      <c r="A18" s="121"/>
      <c r="B18" s="120"/>
    </row>
    <row r="19" spans="1:2" ht="15.75" thickBot="1" x14ac:dyDescent="0.3">
      <c r="A19" s="122"/>
      <c r="B19" s="1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54</vt:i4>
      </vt:variant>
    </vt:vector>
  </HeadingPairs>
  <TitlesOfParts>
    <vt:vector size="59" baseType="lpstr">
      <vt:lpstr>US</vt:lpstr>
      <vt:lpstr>1st Platoon OOB</vt:lpstr>
      <vt:lpstr>2nd Platoon OOB</vt:lpstr>
      <vt:lpstr>Data Sheet</vt:lpstr>
      <vt:lpstr>Updates</vt:lpstr>
      <vt:lpstr>ACar</vt:lpstr>
      <vt:lpstr>Add_Men</vt:lpstr>
      <vt:lpstr>AntiTank</vt:lpstr>
      <vt:lpstr>ATG_12</vt:lpstr>
      <vt:lpstr>AutoR_0</vt:lpstr>
      <vt:lpstr>AutoR_1</vt:lpstr>
      <vt:lpstr>AutoR_2</vt:lpstr>
      <vt:lpstr>BigGun</vt:lpstr>
      <vt:lpstr>D_ACar</vt:lpstr>
      <vt:lpstr>D_AddMen</vt:lpstr>
      <vt:lpstr>D_AntiTank</vt:lpstr>
      <vt:lpstr>D_ATG</vt:lpstr>
      <vt:lpstr>D_AutoR</vt:lpstr>
      <vt:lpstr>D_BigGun</vt:lpstr>
      <vt:lpstr>D_Flamethrower</vt:lpstr>
      <vt:lpstr>D_HMG</vt:lpstr>
      <vt:lpstr>D_Medic</vt:lpstr>
      <vt:lpstr>D_MedicMen</vt:lpstr>
      <vt:lpstr>D_Men</vt:lpstr>
      <vt:lpstr>D_MG</vt:lpstr>
      <vt:lpstr>D_Mortar</vt:lpstr>
      <vt:lpstr>D_Observers</vt:lpstr>
      <vt:lpstr>D_Officers</vt:lpstr>
      <vt:lpstr>D_Officers1</vt:lpstr>
      <vt:lpstr>D_SMG</vt:lpstr>
      <vt:lpstr>D_Sniper</vt:lpstr>
      <vt:lpstr>D_Spotter</vt:lpstr>
      <vt:lpstr>D_Tank</vt:lpstr>
      <vt:lpstr>D_TankOptions</vt:lpstr>
      <vt:lpstr>D_TankOptions1</vt:lpstr>
      <vt:lpstr>D_Transport</vt:lpstr>
      <vt:lpstr>Flamer</vt:lpstr>
      <vt:lpstr>HMG</vt:lpstr>
      <vt:lpstr>Medic</vt:lpstr>
      <vt:lpstr>MMG</vt:lpstr>
      <vt:lpstr>Mortar</vt:lpstr>
      <vt:lpstr>Num_Men</vt:lpstr>
      <vt:lpstr>Observers</vt:lpstr>
      <vt:lpstr>Officers</vt:lpstr>
      <vt:lpstr>Officers1</vt:lpstr>
      <vt:lpstr>'1st Platoon OOB'!Print_Area</vt:lpstr>
      <vt:lpstr>'2nd Platoon OOB'!Print_Area</vt:lpstr>
      <vt:lpstr>Ratings</vt:lpstr>
      <vt:lpstr>SMG_2</vt:lpstr>
      <vt:lpstr>SMG_5</vt:lpstr>
      <vt:lpstr>Sniper</vt:lpstr>
      <vt:lpstr>Spotter</vt:lpstr>
      <vt:lpstr>Tank</vt:lpstr>
      <vt:lpstr>TankOptions</vt:lpstr>
      <vt:lpstr>TankOptions1</vt:lpstr>
      <vt:lpstr>Transport</vt:lpstr>
      <vt:lpstr>UnitType</vt:lpstr>
      <vt:lpstr>VetMen</vt:lpstr>
      <vt:lpstr>VetReg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jmaccaull</dc:creator>
  <cp:lastModifiedBy>Stradling, Duncan, VF UK</cp:lastModifiedBy>
  <cp:lastPrinted>2012-09-03T18:23:12Z</cp:lastPrinted>
  <dcterms:created xsi:type="dcterms:W3CDTF">2012-07-23T17:21:32Z</dcterms:created>
  <dcterms:modified xsi:type="dcterms:W3CDTF">2013-07-16T07:49:03Z</dcterms:modified>
</cp:coreProperties>
</file>